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VENTO CIDEM\PUBLICACION FINAL\"/>
    </mc:Choice>
  </mc:AlternateContent>
  <bookViews>
    <workbookView xWindow="0" yWindow="0" windowWidth="20490" windowHeight="7620"/>
  </bookViews>
  <sheets>
    <sheet name="Data and Instruction" sheetId="9" r:id="rId1"/>
    <sheet name="Calculation" sheetId="2" r:id="rId2"/>
    <sheet name="Van Krevelen" sheetId="4" r:id="rId3"/>
    <sheet name="Solubility literature" sheetId="8" r:id="rId4"/>
    <sheet name="Coumarin" sheetId="5" r:id="rId5"/>
    <sheet name="HSP Sphere" sheetId="1" r:id="rId6"/>
    <sheet name="Summary" sheetId="7" r:id="rId7"/>
  </sheets>
  <externalReferences>
    <externalReference r:id="rId8"/>
    <externalReference r:id="rId9"/>
    <externalReference r:id="rId10"/>
  </externalReferences>
  <definedNames>
    <definedName name="Absorbed" localSheetId="1">#REF!</definedName>
    <definedName name="Absorbed" localSheetId="4">#REF!</definedName>
    <definedName name="Absorbed" localSheetId="3">#REF!</definedName>
    <definedName name="Absorbed">#REF!</definedName>
    <definedName name="Approx_RI" localSheetId="1">#REF!</definedName>
    <definedName name="Approx_RI" localSheetId="4">#REF!</definedName>
    <definedName name="Approx_RI" localSheetId="3">#REF!</definedName>
    <definedName name="Approx_RI">#REF!</definedName>
    <definedName name="AR_" localSheetId="1">#REF!</definedName>
    <definedName name="AR_" localSheetId="4">#REF!</definedName>
    <definedName name="AR_" localSheetId="3">#REF!</definedName>
    <definedName name="AR_">#REF!</definedName>
    <definedName name="AreaF1" localSheetId="1">#REF!</definedName>
    <definedName name="AreaF1" localSheetId="4">#REF!</definedName>
    <definedName name="AreaF1" localSheetId="3">#REF!</definedName>
    <definedName name="AreaF1">#REF!</definedName>
    <definedName name="AreaF2" localSheetId="1">#REF!</definedName>
    <definedName name="AreaF2" localSheetId="4">#REF!</definedName>
    <definedName name="AreaF2" localSheetId="3">#REF!</definedName>
    <definedName name="AreaF2">#REF!</definedName>
    <definedName name="B" localSheetId="1">#REF!</definedName>
    <definedName name="B" localSheetId="4">#REF!</definedName>
    <definedName name="B" localSheetId="3">#REF!</definedName>
    <definedName name="B">#REF!</definedName>
    <definedName name="Bond_R" localSheetId="1">#REF!</definedName>
    <definedName name="Bond_R" localSheetId="4">#REF!</definedName>
    <definedName name="Bond_R" localSheetId="3">#REF!</definedName>
    <definedName name="Bond_R">#REF!</definedName>
    <definedName name="c_" localSheetId="1">#REF!</definedName>
    <definedName name="c_" localSheetId="4">#REF!</definedName>
    <definedName name="c_" localSheetId="3">#REF!</definedName>
    <definedName name="c_">#REF!</definedName>
    <definedName name="Calculated_thickness_µm" localSheetId="1">#REF!</definedName>
    <definedName name="Calculated_thickness_µm" localSheetId="4">#REF!</definedName>
    <definedName name="Calculated_thickness_µm" localSheetId="3">#REF!</definedName>
    <definedName name="Calculated_thickness_µm">#REF!</definedName>
    <definedName name="CB" localSheetId="1">#REF!</definedName>
    <definedName name="CB" localSheetId="4">#REF!</definedName>
    <definedName name="CB" localSheetId="3">#REF!</definedName>
    <definedName name="CB">#REF!</definedName>
    <definedName name="Chi" localSheetId="1">#REF!</definedName>
    <definedName name="Chi" localSheetId="4">#REF!</definedName>
    <definedName name="Chi" localSheetId="3">#REF!</definedName>
    <definedName name="Chi">#REF!</definedName>
    <definedName name="CK" localSheetId="1">#REF!</definedName>
    <definedName name="CK" localSheetId="4">#REF!</definedName>
    <definedName name="CK" localSheetId="3">#REF!</definedName>
    <definedName name="CK">#REF!</definedName>
    <definedName name="CR" localSheetId="1">#REF!</definedName>
    <definedName name="CR" localSheetId="4">#REF!</definedName>
    <definedName name="CR" localSheetId="3">#REF!</definedName>
    <definedName name="CR">#REF!</definedName>
    <definedName name="d" localSheetId="1">#REF!</definedName>
    <definedName name="d" localSheetId="4">#REF!</definedName>
    <definedName name="d" localSheetId="3">#REF!</definedName>
    <definedName name="d">#REF!</definedName>
    <definedName name="dD" localSheetId="1">'[1]HSP Sphere'!$B$3</definedName>
    <definedName name="dD" localSheetId="4">'[1]HSP Sphere'!$B$3</definedName>
    <definedName name="dD" localSheetId="3">'[1]HSP Sphere'!$B$3</definedName>
    <definedName name="dD">'[2]HSP Sphere'!$B$3</definedName>
    <definedName name="Deflection" localSheetId="1">#REF!</definedName>
    <definedName name="Deflection" localSheetId="4">#REF!</definedName>
    <definedName name="Deflection" localSheetId="3">#REF!</definedName>
    <definedName name="Deflection">#REF!</definedName>
    <definedName name="Density" localSheetId="1">#REF!</definedName>
    <definedName name="Density" localSheetId="4">#REF!</definedName>
    <definedName name="Density" localSheetId="3">#REF!</definedName>
    <definedName name="Density">#REF!</definedName>
    <definedName name="dH" localSheetId="1">'[1]HSP Sphere'!$D$3</definedName>
    <definedName name="dH" localSheetId="4">'[1]HSP Sphere'!$D$3</definedName>
    <definedName name="dH" localSheetId="3">'[1]HSP Sphere'!$D$3</definedName>
    <definedName name="dH">'[2]HSP Sphere'!$D$3</definedName>
    <definedName name="Distance">'[3]HSP Solvent Blends and Chi'!$L$22</definedName>
    <definedName name="divStep" localSheetId="1">#REF!</definedName>
    <definedName name="divStep" localSheetId="4">#REF!</definedName>
    <definedName name="divStep" localSheetId="3">#REF!</definedName>
    <definedName name="divStep">#REF!</definedName>
    <definedName name="DLVODensity" localSheetId="1">#REF!</definedName>
    <definedName name="DLVODensity" localSheetId="4">#REF!</definedName>
    <definedName name="DLVODensity" localSheetId="3">#REF!</definedName>
    <definedName name="DLVODensity">#REF!</definedName>
    <definedName name="dMax" localSheetId="1">#REF!</definedName>
    <definedName name="dMax" localSheetId="4">#REF!</definedName>
    <definedName name="dMax" localSheetId="3">#REF!</definedName>
    <definedName name="dMax">#REF!</definedName>
    <definedName name="dMin" localSheetId="1">#REF!</definedName>
    <definedName name="dMin" localSheetId="4">#REF!</definedName>
    <definedName name="dMin" localSheetId="3">#REF!</definedName>
    <definedName name="dMin">#REF!</definedName>
    <definedName name="dP" localSheetId="1">'[1]HSP Sphere'!$C$3</definedName>
    <definedName name="dP" localSheetId="4">'[1]HSP Sphere'!$C$3</definedName>
    <definedName name="dP" localSheetId="3">'[1]HSP Sphere'!$C$3</definedName>
    <definedName name="dP">'[2]HSP Sphere'!$C$3</definedName>
    <definedName name="e" localSheetId="1">#REF!</definedName>
    <definedName name="e" localSheetId="4">#REF!</definedName>
    <definedName name="e" localSheetId="3">#REF!</definedName>
    <definedName name="e">#REF!</definedName>
    <definedName name="e0" localSheetId="1">#REF!</definedName>
    <definedName name="e0" localSheetId="4">#REF!</definedName>
    <definedName name="e0" localSheetId="3">#REF!</definedName>
    <definedName name="e0">#REF!</definedName>
    <definedName name="Ea" localSheetId="1">#REF!</definedName>
    <definedName name="Ea" localSheetId="4">#REF!</definedName>
    <definedName name="Ea" localSheetId="3">#REF!</definedName>
    <definedName name="Ea">#REF!</definedName>
    <definedName name="Failure_Value" localSheetId="1">#REF!</definedName>
    <definedName name="Failure_Value" localSheetId="4">#REF!</definedName>
    <definedName name="Failure_Value" localSheetId="3">#REF!</definedName>
    <definedName name="Failure_Value">#REF!</definedName>
    <definedName name="FCa" localSheetId="1">#REF!</definedName>
    <definedName name="FCa" localSheetId="4">#REF!</definedName>
    <definedName name="FCa" localSheetId="3">#REF!</definedName>
    <definedName name="FCa">#REF!</definedName>
    <definedName name="FDensity" localSheetId="1">#REF!</definedName>
    <definedName name="FDensity" localSheetId="4">#REF!</definedName>
    <definedName name="FDensity" localSheetId="3">#REF!</definedName>
    <definedName name="FDensity">#REF!</definedName>
    <definedName name="FGravity" localSheetId="1">#REF!</definedName>
    <definedName name="FGravity" localSheetId="4">#REF!</definedName>
    <definedName name="FGravity" localSheetId="3">#REF!</definedName>
    <definedName name="FGravity">#REF!</definedName>
    <definedName name="FRadius" localSheetId="1">#REF!</definedName>
    <definedName name="FRadius" localSheetId="4">#REF!</definedName>
    <definedName name="FRadius" localSheetId="3">#REF!</definedName>
    <definedName name="FRadius">#REF!</definedName>
    <definedName name="FSurften" localSheetId="1">#REF!</definedName>
    <definedName name="FSurften" localSheetId="4">#REF!</definedName>
    <definedName name="FSurften" localSheetId="3">#REF!</definedName>
    <definedName name="FSurften">#REF!</definedName>
    <definedName name="fThick" localSheetId="1">#REF!</definedName>
    <definedName name="fThick" localSheetId="4">#REF!</definedName>
    <definedName name="fThick" localSheetId="3">#REF!</definedName>
    <definedName name="fThick">#REF!</definedName>
    <definedName name="FudgeFactor" localSheetId="1">#REF!</definedName>
    <definedName name="FudgeFactor" localSheetId="4">#REF!</definedName>
    <definedName name="FudgeFactor" localSheetId="3">#REF!</definedName>
    <definedName name="FudgeFactor">#REF!</definedName>
    <definedName name="FVelocity" localSheetId="1">#REF!</definedName>
    <definedName name="FVelocity" localSheetId="4">#REF!</definedName>
    <definedName name="FVelocity" localSheetId="3">#REF!</definedName>
    <definedName name="FVelocity">#REF!</definedName>
    <definedName name="FViscosity" localSheetId="1">#REF!</definedName>
    <definedName name="FViscosity" localSheetId="4">#REF!</definedName>
    <definedName name="FViscosity" localSheetId="3">#REF!</definedName>
    <definedName name="FViscosity">#REF!</definedName>
    <definedName name="g" localSheetId="1">#REF!</definedName>
    <definedName name="g" localSheetId="4">#REF!</definedName>
    <definedName name="g" localSheetId="3">#REF!</definedName>
    <definedName name="g">#REF!</definedName>
    <definedName name="Gravity" localSheetId="1">#REF!</definedName>
    <definedName name="Gravity" localSheetId="4">#REF!</definedName>
    <definedName name="Gravity" localSheetId="3">#REF!</definedName>
    <definedName name="Gravity">#REF!</definedName>
    <definedName name="h" localSheetId="1">#REF!</definedName>
    <definedName name="h" localSheetId="4">#REF!</definedName>
    <definedName name="h" localSheetId="3">#REF!</definedName>
    <definedName name="h">#REF!</definedName>
    <definedName name="h0" localSheetId="1">#REF!</definedName>
    <definedName name="h0" localSheetId="4">#REF!</definedName>
    <definedName name="h0" localSheetId="3">#REF!</definedName>
    <definedName name="h0">#REF!</definedName>
    <definedName name="Hamaker" localSheetId="1">#REF!</definedName>
    <definedName name="Hamaker" localSheetId="4">#REF!</definedName>
    <definedName name="Hamaker" localSheetId="3">#REF!</definedName>
    <definedName name="Hamaker">#REF!</definedName>
    <definedName name="Hardness" localSheetId="1">#REF!</definedName>
    <definedName name="Hardness" localSheetId="4">#REF!</definedName>
    <definedName name="Hardness" localSheetId="3">#REF!</definedName>
    <definedName name="Hardness">#REF!</definedName>
    <definedName name="HHardness" localSheetId="1">#REF!</definedName>
    <definedName name="HHardness" localSheetId="4">#REF!</definedName>
    <definedName name="HHardness" localSheetId="3">#REF!</definedName>
    <definedName name="HHardness">#REF!</definedName>
    <definedName name="Higher_wavelength" localSheetId="1">#REF!</definedName>
    <definedName name="Higher_wavelength" localSheetId="4">#REF!</definedName>
    <definedName name="Higher_wavelength" localSheetId="3">#REF!</definedName>
    <definedName name="Higher_wavelength">#REF!</definedName>
    <definedName name="HModulus" localSheetId="1">#REF!</definedName>
    <definedName name="HModulus" localSheetId="4">#REF!</definedName>
    <definedName name="HModulus" localSheetId="3">#REF!</definedName>
    <definedName name="HModulus">#REF!</definedName>
    <definedName name="Hukki_R" localSheetId="1">#REF!</definedName>
    <definedName name="Hukki_R" localSheetId="4">#REF!</definedName>
    <definedName name="Hukki_R" localSheetId="3">#REF!</definedName>
    <definedName name="Hukki_R">#REF!</definedName>
    <definedName name="I" localSheetId="1">#REF!</definedName>
    <definedName name="I" localSheetId="4">#REF!</definedName>
    <definedName name="I" localSheetId="3">#REF!</definedName>
    <definedName name="I">#REF!</definedName>
    <definedName name="iModulus" localSheetId="1">#REF!</definedName>
    <definedName name="iModulus" localSheetId="4">#REF!</definedName>
    <definedName name="iModulus" localSheetId="3">#REF!</definedName>
    <definedName name="iModulus">#REF!</definedName>
    <definedName name="iPoisson" localSheetId="1">#REF!</definedName>
    <definedName name="iPoisson" localSheetId="4">#REF!</definedName>
    <definedName name="iPoisson" localSheetId="3">#REF!</definedName>
    <definedName name="iPoisson">#REF!</definedName>
    <definedName name="k_1" localSheetId="1">#REF!</definedName>
    <definedName name="k_1" localSheetId="4">#REF!</definedName>
    <definedName name="k_1" localSheetId="3">#REF!</definedName>
    <definedName name="k_1">#REF!</definedName>
    <definedName name="K_K_R" localSheetId="1">#REF!</definedName>
    <definedName name="K_K_R" localSheetId="4">#REF!</definedName>
    <definedName name="K_K_R" localSheetId="3">#REF!</definedName>
    <definedName name="K_K_R">#REF!</definedName>
    <definedName name="kB" localSheetId="1">#REF!</definedName>
    <definedName name="kB" localSheetId="4">#REF!</definedName>
    <definedName name="kB" localSheetId="3">#REF!</definedName>
    <definedName name="kB">#REF!</definedName>
    <definedName name="Km" localSheetId="1">#REF!</definedName>
    <definedName name="Km" localSheetId="4">#REF!</definedName>
    <definedName name="Km" localSheetId="3">#REF!</definedName>
    <definedName name="Km">#REF!</definedName>
    <definedName name="Kmunload" localSheetId="1">#REF!</definedName>
    <definedName name="Kmunload" localSheetId="4">#REF!</definedName>
    <definedName name="Kmunload" localSheetId="3">#REF!</definedName>
    <definedName name="Kmunload">#REF!</definedName>
    <definedName name="Layer" localSheetId="1">#REF!</definedName>
    <definedName name="Layer" localSheetId="4">#REF!</definedName>
    <definedName name="Layer" localSheetId="3">#REF!</definedName>
    <definedName name="Layer">#REF!</definedName>
    <definedName name="Length" localSheetId="1">#REF!</definedName>
    <definedName name="Length" localSheetId="4">#REF!</definedName>
    <definedName name="Length" localSheetId="3">#REF!</definedName>
    <definedName name="Length">#REF!</definedName>
    <definedName name="lnA" localSheetId="1">#REF!</definedName>
    <definedName name="lnA" localSheetId="4">#REF!</definedName>
    <definedName name="lnA" localSheetId="3">#REF!</definedName>
    <definedName name="lnA">#REF!</definedName>
    <definedName name="Lower_wavelength" localSheetId="1">#REF!</definedName>
    <definedName name="Lower_wavelength" localSheetId="4">#REF!</definedName>
    <definedName name="Lower_wavelength" localSheetId="3">#REF!</definedName>
    <definedName name="Lower_wavelength">#REF!</definedName>
    <definedName name="mass" localSheetId="1">#REF!</definedName>
    <definedName name="mass" localSheetId="4">#REF!</definedName>
    <definedName name="mass" localSheetId="3">#REF!</definedName>
    <definedName name="mass">#REF!</definedName>
    <definedName name="MIAPROX" localSheetId="3">#REF!</definedName>
    <definedName name="MIAPROX">#REF!</definedName>
    <definedName name="MIAR" localSheetId="3">#REF!</definedName>
    <definedName name="MIAR">#REF!</definedName>
    <definedName name="MINOMBRE" localSheetId="3">#REF!</definedName>
    <definedName name="MINOMBRE">#REF!</definedName>
    <definedName name="Modulus" localSheetId="1">#REF!</definedName>
    <definedName name="Modulus" localSheetId="4">#REF!</definedName>
    <definedName name="Modulus" localSheetId="3">#REF!</definedName>
    <definedName name="Modulus">#REF!</definedName>
    <definedName name="MVol" localSheetId="1">#REF!</definedName>
    <definedName name="MVol" localSheetId="4">#REF!</definedName>
    <definedName name="MVol" localSheetId="3">#REF!</definedName>
    <definedName name="MVol">#REF!</definedName>
    <definedName name="MVolChi">'[3]HSP Solvent Blends and Chi'!$L$23</definedName>
    <definedName name="NA" localSheetId="1">#REF!</definedName>
    <definedName name="NA" localSheetId="4">#REF!</definedName>
    <definedName name="NA" localSheetId="3">#REF!</definedName>
    <definedName name="NA">#REF!</definedName>
    <definedName name="Number_of_peaks" localSheetId="1">#REF!</definedName>
    <definedName name="Number_of_peaks" localSheetId="4">#REF!</definedName>
    <definedName name="Number_of_peaks" localSheetId="3">#REF!</definedName>
    <definedName name="Number_of_peaks">#REF!</definedName>
    <definedName name="Offset" localSheetId="1">#REF!</definedName>
    <definedName name="Offset" localSheetId="4">#REF!</definedName>
    <definedName name="Offset" localSheetId="3">#REF!</definedName>
    <definedName name="Offset">#REF!</definedName>
    <definedName name="Optical_thickness_μm" localSheetId="1">#REF!</definedName>
    <definedName name="Optical_thickness_μm" localSheetId="4">#REF!</definedName>
    <definedName name="Optical_thickness_μm" localSheetId="3">#REF!</definedName>
    <definedName name="Optical_thickness_μm">#REF!</definedName>
    <definedName name="oThick" localSheetId="1">#REF!</definedName>
    <definedName name="oThick" localSheetId="4">#REF!</definedName>
    <definedName name="oThick" localSheetId="3">#REF!</definedName>
    <definedName name="oThick">#REF!</definedName>
    <definedName name="PMax" localSheetId="1">#REF!</definedName>
    <definedName name="PMax" localSheetId="4">#REF!</definedName>
    <definedName name="PMax" localSheetId="3">#REF!</definedName>
    <definedName name="PMax">#REF!</definedName>
    <definedName name="PotAtt" localSheetId="1">#REF!</definedName>
    <definedName name="PotAtt" localSheetId="4">#REF!</definedName>
    <definedName name="PotAtt" localSheetId="3">#REF!</definedName>
    <definedName name="PotAtt">#REF!</definedName>
    <definedName name="PotRep" localSheetId="1">#REF!</definedName>
    <definedName name="PotRep" localSheetId="4">#REF!</definedName>
    <definedName name="PotRep" localSheetId="3">#REF!</definedName>
    <definedName name="PotRep">#REF!</definedName>
    <definedName name="R_" localSheetId="1">'[1]HSP Sphere'!$E$3</definedName>
    <definedName name="R_" localSheetId="4">'[1]HSP Sphere'!$E$3</definedName>
    <definedName name="R_" localSheetId="3">'[1]HSP Sphere'!$E$3</definedName>
    <definedName name="R_">'[2]HSP Sphere'!$E$3</definedName>
    <definedName name="radius" localSheetId="1">#REF!</definedName>
    <definedName name="radius" localSheetId="4">#REF!</definedName>
    <definedName name="radius" localSheetId="3">#REF!</definedName>
    <definedName name="radius">#REF!</definedName>
    <definedName name="rModulus" localSheetId="1">#REF!</definedName>
    <definedName name="rModulus" localSheetId="4">#REF!</definedName>
    <definedName name="rModulus" localSheetId="3">#REF!</definedName>
    <definedName name="rModulus">#REF!</definedName>
    <definedName name="RT">'[3]HSP Solvent Blends and Chi'!$L$26</definedName>
    <definedName name="s" localSheetId="1">#REF!</definedName>
    <definedName name="s" localSheetId="4">#REF!</definedName>
    <definedName name="s" localSheetId="3">#REF!</definedName>
    <definedName name="s">#REF!</definedName>
    <definedName name="Scale_h" localSheetId="1">#REF!</definedName>
    <definedName name="Scale_h" localSheetId="4">#REF!</definedName>
    <definedName name="Scale_h" localSheetId="3">#REF!</definedName>
    <definedName name="Scale_h">#REF!</definedName>
    <definedName name="sForce" localSheetId="1">#REF!</definedName>
    <definedName name="sForce" localSheetId="4">#REF!</definedName>
    <definedName name="sForce" localSheetId="3">#REF!</definedName>
    <definedName name="sForce">#REF!</definedName>
    <definedName name="solver_adj" localSheetId="5" hidden="1">'HSP Sphere'!$B$3:$E$3</definedName>
    <definedName name="solver_adj" localSheetId="3" hidden="1">'Solubility literature'!$U$16</definedName>
    <definedName name="solver_cvg" localSheetId="5" hidden="1">0.0001</definedName>
    <definedName name="solver_cvg" localSheetId="3" hidden="1">0.0001</definedName>
    <definedName name="solver_drv" localSheetId="5" hidden="1">1</definedName>
    <definedName name="solver_drv" localSheetId="3" hidden="1">1</definedName>
    <definedName name="solver_eng" localSheetId="5" hidden="1">3</definedName>
    <definedName name="solver_eng" localSheetId="3" hidden="1">1</definedName>
    <definedName name="solver_est" localSheetId="5" hidden="1">1</definedName>
    <definedName name="solver_est" localSheetId="3" hidden="1">1</definedName>
    <definedName name="solver_itr" localSheetId="5" hidden="1">100</definedName>
    <definedName name="solver_itr" localSheetId="3" hidden="1">2147483647</definedName>
    <definedName name="solver_lhs1" localSheetId="5" hidden="1">'HSP Sphere'!$B$3</definedName>
    <definedName name="solver_lhs1" localSheetId="3" hidden="1">'Solubility literature'!$S$3</definedName>
    <definedName name="solver_lhs2" localSheetId="5" hidden="1">'HSP Sphere'!$B$3:$D$3</definedName>
    <definedName name="solver_lhs2" localSheetId="3" hidden="1">'Solubility literature'!$S$3</definedName>
    <definedName name="solver_lhs3" localSheetId="5" hidden="1">'HSP Sphere'!$C$3</definedName>
    <definedName name="solver_lhs3" localSheetId="3" hidden="1">'Solubility literature'!$S$4</definedName>
    <definedName name="solver_lhs4" localSheetId="5" hidden="1">'HSP Sphere'!$D$3</definedName>
    <definedName name="solver_lhs4" localSheetId="3" hidden="1">'Solubility literature'!$S$4</definedName>
    <definedName name="solver_lhs5" localSheetId="5" hidden="1">'HSP Sphere'!$E$3</definedName>
    <definedName name="solver_lhs6" localSheetId="5" hidden="1">'HSP Sphere'!$E$3</definedName>
    <definedName name="solver_lhs7" localSheetId="5" hidden="1">'HSP Sphere'!$E$3</definedName>
    <definedName name="solver_lin" localSheetId="5" hidden="1">2</definedName>
    <definedName name="solver_mip" localSheetId="5" hidden="1">2147483647</definedName>
    <definedName name="solver_mip" localSheetId="3" hidden="1">2147483647</definedName>
    <definedName name="solver_mni" localSheetId="5" hidden="1">30</definedName>
    <definedName name="solver_mni" localSheetId="3" hidden="1">30</definedName>
    <definedName name="solver_mrt" localSheetId="5" hidden="1">0.075</definedName>
    <definedName name="solver_mrt" localSheetId="3" hidden="1">0.075</definedName>
    <definedName name="solver_msl" localSheetId="5" hidden="1">1</definedName>
    <definedName name="solver_msl" localSheetId="3" hidden="1">2</definedName>
    <definedName name="solver_neg" localSheetId="5" hidden="1">1</definedName>
    <definedName name="solver_neg" localSheetId="3" hidden="1">1</definedName>
    <definedName name="solver_nod" localSheetId="5" hidden="1">2147483647</definedName>
    <definedName name="solver_nod" localSheetId="3" hidden="1">2147483647</definedName>
    <definedName name="solver_num" localSheetId="5" hidden="1">7</definedName>
    <definedName name="solver_num" localSheetId="3" hidden="1">2</definedName>
    <definedName name="solver_nwt" localSheetId="5" hidden="1">1</definedName>
    <definedName name="solver_nwt" localSheetId="3" hidden="1">1</definedName>
    <definedName name="solver_opt" localSheetId="5" hidden="1">'HSP Sphere'!$I$6</definedName>
    <definedName name="solver_opt" localSheetId="3" hidden="1">'Solubility literature'!$T$15</definedName>
    <definedName name="solver_pre" localSheetId="5" hidden="1">0.000001</definedName>
    <definedName name="solver_pre" localSheetId="3" hidden="1">0.000001</definedName>
    <definedName name="solver_rbv" localSheetId="5" hidden="1">1</definedName>
    <definedName name="solver_rbv" localSheetId="3" hidden="1">1</definedName>
    <definedName name="solver_rel1" localSheetId="5" hidden="1">3</definedName>
    <definedName name="solver_rel1" localSheetId="3" hidden="1">1</definedName>
    <definedName name="solver_rel2" localSheetId="5" hidden="1">1</definedName>
    <definedName name="solver_rel2" localSheetId="3" hidden="1">3</definedName>
    <definedName name="solver_rel3" localSheetId="5" hidden="1">3</definedName>
    <definedName name="solver_rel3" localSheetId="3" hidden="1">4</definedName>
    <definedName name="solver_rel4" localSheetId="5" hidden="1">3</definedName>
    <definedName name="solver_rel4" localSheetId="3" hidden="1">4</definedName>
    <definedName name="solver_rel5" localSheetId="5" hidden="1">1</definedName>
    <definedName name="solver_rel6" localSheetId="5" hidden="1">3</definedName>
    <definedName name="solver_rel7" localSheetId="5" hidden="1">3</definedName>
    <definedName name="solver_rhs1" localSheetId="5" hidden="1">13</definedName>
    <definedName name="solver_rhs1" localSheetId="3" hidden="1">1</definedName>
    <definedName name="solver_rhs2" localSheetId="5" hidden="1">50</definedName>
    <definedName name="solver_rhs2" localSheetId="3" hidden="1">0.1</definedName>
    <definedName name="solver_rhs3" localSheetId="5" hidden="1">0</definedName>
    <definedName name="solver_rhs3" localSheetId="3" hidden="1">entero</definedName>
    <definedName name="solver_rhs4" localSheetId="5" hidden="1">0</definedName>
    <definedName name="solver_rhs4" localSheetId="3" hidden="1">entero</definedName>
    <definedName name="solver_rhs5" localSheetId="5" hidden="1">18</definedName>
    <definedName name="solver_rhs6" localSheetId="5" hidden="1">'HSP Sphere'!$L$51</definedName>
    <definedName name="solver_rhs7" localSheetId="5" hidden="1">1</definedName>
    <definedName name="solver_rlx" localSheetId="5" hidden="1">2</definedName>
    <definedName name="solver_rlx" localSheetId="3" hidden="1">2</definedName>
    <definedName name="solver_rsd" localSheetId="5" hidden="1">0</definedName>
    <definedName name="solver_rsd" localSheetId="3" hidden="1">0</definedName>
    <definedName name="solver_scl" localSheetId="5" hidden="1">1</definedName>
    <definedName name="solver_scl" localSheetId="3" hidden="1">1</definedName>
    <definedName name="solver_sho" localSheetId="5" hidden="1">2</definedName>
    <definedName name="solver_sho" localSheetId="3" hidden="1">2</definedName>
    <definedName name="solver_ssz" localSheetId="5" hidden="1">10000</definedName>
    <definedName name="solver_ssz" localSheetId="3" hidden="1">100</definedName>
    <definedName name="solver_tim" localSheetId="5" hidden="1">100</definedName>
    <definedName name="solver_tim" localSheetId="3" hidden="1">2147483647</definedName>
    <definedName name="solver_tol" localSheetId="5" hidden="1">0.05</definedName>
    <definedName name="solver_tol" localSheetId="3" hidden="1">0.01</definedName>
    <definedName name="solver_typ" localSheetId="5" hidden="1">1</definedName>
    <definedName name="solver_typ" localSheetId="3" hidden="1">2</definedName>
    <definedName name="solver_val" localSheetId="5" hidden="1">0</definedName>
    <definedName name="solver_val" localSheetId="3" hidden="1">0</definedName>
    <definedName name="solver_ver" localSheetId="5" hidden="1">3</definedName>
    <definedName name="solver_ver" localSheetId="3" hidden="1">3</definedName>
    <definedName name="sPoisson" localSheetId="1">#REF!</definedName>
    <definedName name="sPoisson" localSheetId="4">#REF!</definedName>
    <definedName name="sPoisson" localSheetId="3">#REF!</definedName>
    <definedName name="sPoisson">#REF!</definedName>
    <definedName name="sRadius" localSheetId="1">#REF!</definedName>
    <definedName name="sRadius" localSheetId="4">#REF!</definedName>
    <definedName name="sRadius" localSheetId="3">#REF!</definedName>
    <definedName name="sRadius">#REF!</definedName>
    <definedName name="Surface_Potential" localSheetId="1">#REF!</definedName>
    <definedName name="Surface_Potential" localSheetId="4">#REF!</definedName>
    <definedName name="Surface_Potential" localSheetId="3">#REF!</definedName>
    <definedName name="Surface_Potential">#REF!</definedName>
    <definedName name="SurfTen" localSheetId="1">#REF!</definedName>
    <definedName name="SurfTen" localSheetId="4">#REF!</definedName>
    <definedName name="SurfTen" localSheetId="3">#REF!</definedName>
    <definedName name="SurfTen">#REF!</definedName>
    <definedName name="sViscosity" localSheetId="1">#REF!</definedName>
    <definedName name="sViscosity" localSheetId="4">#REF!</definedName>
    <definedName name="sViscosity" localSheetId="3">#REF!</definedName>
    <definedName name="sViscosity">#REF!</definedName>
    <definedName name="T" localSheetId="1">#REF!</definedName>
    <definedName name="T" localSheetId="4">#REF!</definedName>
    <definedName name="T" localSheetId="3">#REF!</definedName>
    <definedName name="T">#REF!</definedName>
    <definedName name="Temperature">'[3]HSP Solvent Blends and Chi'!$L$24</definedName>
    <definedName name="Thickness" localSheetId="1">#REF!</definedName>
    <definedName name="Thickness" localSheetId="4">#REF!</definedName>
    <definedName name="Thickness" localSheetId="3">#REF!</definedName>
    <definedName name="Thickness">#REF!</definedName>
    <definedName name="uDMax" localSheetId="1">#REF!</definedName>
    <definedName name="uDMax" localSheetId="4">#REF!</definedName>
    <definedName name="uDMax" localSheetId="3">#REF!</definedName>
    <definedName name="uDMax">#REF!</definedName>
    <definedName name="VdWmin" localSheetId="1">#REF!</definedName>
    <definedName name="VdWmin" localSheetId="4">#REF!</definedName>
    <definedName name="VdWmin" localSheetId="3">#REF!</definedName>
    <definedName name="VdWmin">#REF!</definedName>
    <definedName name="Velocity" localSheetId="1">#REF!</definedName>
    <definedName name="Velocity" localSheetId="4">#REF!</definedName>
    <definedName name="Velocity" localSheetId="3">#REF!</definedName>
    <definedName name="Velocity">#REF!</definedName>
    <definedName name="Viscosity" localSheetId="1">#REF!</definedName>
    <definedName name="Viscosity" localSheetId="4">#REF!</definedName>
    <definedName name="Viscosity" localSheetId="3">#REF!</definedName>
    <definedName name="Viscosity">#REF!</definedName>
    <definedName name="Well" localSheetId="1">#REF!</definedName>
    <definedName name="Well" localSheetId="4">#REF!</definedName>
    <definedName name="Well" localSheetId="3">#REF!</definedName>
    <definedName name="Well">#REF!</definedName>
    <definedName name="x" localSheetId="1">#REF!</definedName>
    <definedName name="x" localSheetId="4">#REF!</definedName>
    <definedName name="x" localSheetId="3">#REF!</definedName>
    <definedName name="x">#REF!</definedName>
    <definedName name="xystep" localSheetId="1">#REF!</definedName>
    <definedName name="xystep" localSheetId="4">#REF!</definedName>
    <definedName name="xystep" localSheetId="3">#REF!</definedName>
    <definedName name="xystep">#REF!</definedName>
    <definedName name="y" localSheetId="1">#REF!</definedName>
    <definedName name="y" localSheetId="4">#REF!</definedName>
    <definedName name="y" localSheetId="3">#REF!</definedName>
    <definedName name="y">#REF!</definedName>
    <definedName name="ε" localSheetId="1">#REF!</definedName>
    <definedName name="ε" localSheetId="4">#REF!</definedName>
    <definedName name="ε" localSheetId="3">#REF!</definedName>
    <definedName name="ε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8" l="1"/>
  <c r="R4" i="5"/>
  <c r="I34" i="2"/>
  <c r="G6" i="7" l="1"/>
  <c r="E6" i="7"/>
  <c r="F6" i="7"/>
  <c r="D6" i="7"/>
  <c r="E4" i="7"/>
  <c r="C4" i="7" s="1"/>
  <c r="F4" i="7"/>
  <c r="D4" i="7"/>
  <c r="C23" i="7"/>
  <c r="C22" i="7"/>
  <c r="C21" i="7"/>
  <c r="C20" i="7"/>
  <c r="C19" i="7"/>
  <c r="C18" i="7"/>
  <c r="C17" i="7"/>
  <c r="C16" i="7"/>
  <c r="C15" i="7"/>
  <c r="C14" i="7"/>
  <c r="C13" i="7"/>
  <c r="C24" i="7" s="1"/>
  <c r="C7" i="7"/>
  <c r="E14" i="8"/>
  <c r="E13" i="8"/>
  <c r="E12" i="8"/>
  <c r="B11" i="8"/>
  <c r="B12" i="8" s="1"/>
  <c r="B13" i="8" s="1"/>
  <c r="B14" i="8" s="1"/>
  <c r="B10" i="8"/>
  <c r="G22" i="7" l="1"/>
  <c r="H22" i="7" s="1"/>
  <c r="C6" i="7"/>
  <c r="G23" i="7"/>
  <c r="H23" i="7" s="1"/>
  <c r="G14" i="7"/>
  <c r="H14" i="7" s="1"/>
  <c r="G16" i="7"/>
  <c r="H16" i="7" s="1"/>
  <c r="G18" i="7"/>
  <c r="H18" i="7" s="1"/>
  <c r="G20" i="7"/>
  <c r="H20" i="7" s="1"/>
  <c r="G13" i="7"/>
  <c r="H13" i="7" s="1"/>
  <c r="G15" i="7"/>
  <c r="H15" i="7" s="1"/>
  <c r="G17" i="7"/>
  <c r="H17" i="7" s="1"/>
  <c r="G19" i="7"/>
  <c r="H19" i="7" s="1"/>
  <c r="G21" i="7"/>
  <c r="H21" i="7" s="1"/>
  <c r="H24" i="7" l="1"/>
  <c r="B6" i="5" l="1"/>
  <c r="B5" i="5"/>
  <c r="B4" i="5"/>
  <c r="B3" i="5"/>
  <c r="B2" i="5"/>
  <c r="B6" i="8"/>
  <c r="B5" i="8"/>
  <c r="B3" i="8"/>
  <c r="B2" i="8"/>
  <c r="I3" i="4"/>
  <c r="I2" i="4"/>
  <c r="S2" i="8" l="1"/>
  <c r="B4" i="8"/>
  <c r="E11" i="8" l="1"/>
  <c r="E10" i="8"/>
  <c r="E9" i="8"/>
  <c r="E1" i="8"/>
  <c r="R2" i="5" l="1"/>
  <c r="A10" i="1" l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C9" i="1"/>
  <c r="D9" i="1"/>
  <c r="E9" i="1"/>
  <c r="B9" i="1"/>
  <c r="A9" i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E29" i="5"/>
  <c r="E41" i="5" l="1"/>
  <c r="E35" i="5"/>
  <c r="E36" i="5"/>
  <c r="E37" i="5"/>
  <c r="E38" i="5"/>
  <c r="E39" i="5"/>
  <c r="E40" i="5"/>
  <c r="E42" i="5"/>
  <c r="E43" i="5"/>
  <c r="E44" i="5"/>
  <c r="E45" i="5"/>
  <c r="E46" i="5"/>
  <c r="E47" i="5"/>
  <c r="E48" i="5"/>
  <c r="E34" i="5"/>
  <c r="E33" i="5"/>
  <c r="E32" i="5"/>
  <c r="E31" i="5"/>
  <c r="E30" i="5"/>
  <c r="E28" i="5"/>
  <c r="E27" i="5"/>
  <c r="E26" i="5"/>
  <c r="E25" i="5"/>
  <c r="E19" i="5"/>
  <c r="E24" i="5"/>
  <c r="E23" i="5"/>
  <c r="E22" i="5"/>
  <c r="E21" i="5"/>
  <c r="E20" i="5"/>
  <c r="E18" i="5"/>
  <c r="E17" i="5"/>
  <c r="E16" i="5"/>
  <c r="E15" i="5"/>
  <c r="E14" i="5"/>
  <c r="E13" i="5"/>
  <c r="E12" i="5"/>
  <c r="E11" i="5"/>
  <c r="E10" i="5"/>
  <c r="E9" i="5"/>
  <c r="E1" i="5"/>
  <c r="H133" i="2"/>
  <c r="H132" i="2"/>
  <c r="H131" i="2"/>
  <c r="H129" i="2"/>
  <c r="H128" i="2"/>
  <c r="H127" i="2"/>
  <c r="H126" i="2"/>
  <c r="H125" i="2"/>
  <c r="H124" i="2"/>
  <c r="H123" i="2"/>
  <c r="H122" i="2"/>
  <c r="H121" i="2"/>
  <c r="H119" i="2"/>
  <c r="H118" i="2"/>
  <c r="H117" i="2"/>
  <c r="H116" i="2"/>
  <c r="H115" i="2"/>
  <c r="H114" i="2"/>
  <c r="H113" i="2"/>
  <c r="H112" i="2"/>
  <c r="H111" i="2"/>
  <c r="H110" i="2"/>
  <c r="H108" i="2"/>
  <c r="H107" i="2"/>
  <c r="H106" i="2"/>
  <c r="H105" i="2"/>
  <c r="H103" i="2"/>
  <c r="H102" i="2"/>
  <c r="H101" i="2"/>
  <c r="H100" i="2"/>
  <c r="H99" i="2"/>
  <c r="H97" i="2"/>
  <c r="H96" i="2"/>
  <c r="H95" i="2"/>
  <c r="H94" i="2"/>
  <c r="H93" i="2"/>
  <c r="H92" i="2"/>
  <c r="H91" i="2"/>
  <c r="H90" i="2"/>
  <c r="H89" i="2"/>
  <c r="H88" i="2"/>
  <c r="B4" i="2"/>
  <c r="O83" i="2" l="1"/>
  <c r="G42" i="2" s="1"/>
  <c r="W83" i="2"/>
  <c r="J148" i="2" s="1"/>
  <c r="S83" i="2"/>
  <c r="J144" i="2" s="1"/>
  <c r="K83" i="2"/>
  <c r="Z83" i="2"/>
  <c r="M83" i="2"/>
  <c r="G35" i="2" s="1"/>
  <c r="Q83" i="2"/>
  <c r="J142" i="2" s="1"/>
  <c r="U83" i="2"/>
  <c r="G45" i="2" s="1"/>
  <c r="Y83" i="2"/>
  <c r="G34" i="2" s="1"/>
  <c r="J83" i="2"/>
  <c r="L83" i="2"/>
  <c r="G38" i="2" s="1"/>
  <c r="N83" i="2"/>
  <c r="G41" i="2" s="1"/>
  <c r="P83" i="2"/>
  <c r="G43" i="2" s="1"/>
  <c r="R83" i="2"/>
  <c r="J143" i="2" s="1"/>
  <c r="T83" i="2"/>
  <c r="J145" i="2" s="1"/>
  <c r="V83" i="2"/>
  <c r="X83" i="2"/>
  <c r="J149" i="2" s="1"/>
  <c r="B1" i="8" l="1"/>
  <c r="B1" i="5"/>
  <c r="G51" i="2"/>
  <c r="G36" i="2"/>
  <c r="G48" i="2" s="1"/>
  <c r="G37" i="2"/>
  <c r="J137" i="2" s="1"/>
  <c r="G49" i="2"/>
  <c r="L12" i="8" l="1"/>
  <c r="L14" i="8"/>
  <c r="M14" i="8"/>
  <c r="L13" i="8"/>
  <c r="M13" i="8"/>
  <c r="M12" i="8"/>
  <c r="I10" i="4"/>
  <c r="E5" i="7" s="1"/>
  <c r="I7" i="4"/>
  <c r="D5" i="7" s="1"/>
  <c r="I13" i="4"/>
  <c r="F5" i="7" s="1"/>
  <c r="M14" i="5"/>
  <c r="M22" i="5"/>
  <c r="M30" i="5"/>
  <c r="M38" i="5"/>
  <c r="M46" i="5"/>
  <c r="L14" i="5"/>
  <c r="L22" i="5"/>
  <c r="L30" i="5"/>
  <c r="L38" i="5"/>
  <c r="L46" i="5"/>
  <c r="M21" i="5"/>
  <c r="M37" i="5"/>
  <c r="L13" i="5"/>
  <c r="L29" i="5"/>
  <c r="L45" i="5"/>
  <c r="M19" i="5"/>
  <c r="M35" i="5"/>
  <c r="L11" i="5"/>
  <c r="L27" i="5"/>
  <c r="L43" i="5"/>
  <c r="M16" i="5"/>
  <c r="M24" i="5"/>
  <c r="M32" i="5"/>
  <c r="M40" i="5"/>
  <c r="M48" i="5"/>
  <c r="L16" i="5"/>
  <c r="L24" i="5"/>
  <c r="L32" i="5"/>
  <c r="L40" i="5"/>
  <c r="L48" i="5"/>
  <c r="M25" i="5"/>
  <c r="M41" i="5"/>
  <c r="L17" i="5"/>
  <c r="L33" i="5"/>
  <c r="L9" i="5"/>
  <c r="M23" i="5"/>
  <c r="M39" i="5"/>
  <c r="L15" i="5"/>
  <c r="L31" i="5"/>
  <c r="L47" i="5"/>
  <c r="M10" i="5"/>
  <c r="M18" i="5"/>
  <c r="M26" i="5"/>
  <c r="M34" i="5"/>
  <c r="M42" i="5"/>
  <c r="L10" i="5"/>
  <c r="L18" i="5"/>
  <c r="L26" i="5"/>
  <c r="L34" i="5"/>
  <c r="L42" i="5"/>
  <c r="M13" i="5"/>
  <c r="M29" i="5"/>
  <c r="M45" i="5"/>
  <c r="L21" i="5"/>
  <c r="L37" i="5"/>
  <c r="M11" i="5"/>
  <c r="M27" i="5"/>
  <c r="M43" i="5"/>
  <c r="L19" i="5"/>
  <c r="L35" i="5"/>
  <c r="M12" i="5"/>
  <c r="M20" i="5"/>
  <c r="M28" i="5"/>
  <c r="M36" i="5"/>
  <c r="M44" i="5"/>
  <c r="L12" i="5"/>
  <c r="L20" i="5"/>
  <c r="L28" i="5"/>
  <c r="L36" i="5"/>
  <c r="L44" i="5"/>
  <c r="M17" i="5"/>
  <c r="M33" i="5"/>
  <c r="M9" i="5"/>
  <c r="L25" i="5"/>
  <c r="L41" i="5"/>
  <c r="M15" i="5"/>
  <c r="M31" i="5"/>
  <c r="M47" i="5"/>
  <c r="L23" i="5"/>
  <c r="L39" i="5"/>
  <c r="M10" i="8"/>
  <c r="M9" i="8"/>
  <c r="L10" i="8"/>
  <c r="L9" i="8"/>
  <c r="L11" i="8"/>
  <c r="M11" i="8"/>
  <c r="J138" i="2"/>
  <c r="J139" i="2" s="1"/>
  <c r="G40" i="2" s="1"/>
  <c r="G53" i="2" s="1"/>
  <c r="G39" i="2"/>
  <c r="G52" i="2" s="1"/>
  <c r="G44" i="2"/>
  <c r="G50" i="2" s="1"/>
  <c r="C5" i="7" l="1"/>
  <c r="I15" i="4"/>
  <c r="H2" i="5"/>
  <c r="H2" i="8"/>
  <c r="F2" i="8"/>
  <c r="F2" i="5"/>
  <c r="G2" i="5"/>
  <c r="G2" i="8"/>
  <c r="G53" i="1"/>
  <c r="N9" i="8" l="1"/>
  <c r="P9" i="8" s="1"/>
  <c r="S9" i="8" s="1"/>
  <c r="U9" i="8" s="1"/>
  <c r="K12" i="8"/>
  <c r="N13" i="8"/>
  <c r="P13" i="8" s="1"/>
  <c r="S13" i="8" s="1"/>
  <c r="K14" i="8"/>
  <c r="K13" i="8"/>
  <c r="N14" i="8"/>
  <c r="P14" i="8" s="1"/>
  <c r="S14" i="8" s="1"/>
  <c r="N12" i="8"/>
  <c r="P12" i="8" s="1"/>
  <c r="S12" i="8" s="1"/>
  <c r="N10" i="8"/>
  <c r="K10" i="8"/>
  <c r="K9" i="8"/>
  <c r="E2" i="8"/>
  <c r="K11" i="8"/>
  <c r="N11" i="8"/>
  <c r="K48" i="5"/>
  <c r="K26" i="5"/>
  <c r="K10" i="5"/>
  <c r="K24" i="5"/>
  <c r="K29" i="5"/>
  <c r="K32" i="5"/>
  <c r="K14" i="5"/>
  <c r="K20" i="5"/>
  <c r="K19" i="5"/>
  <c r="K34" i="5"/>
  <c r="K30" i="5"/>
  <c r="K13" i="5"/>
  <c r="K38" i="5"/>
  <c r="K9" i="5"/>
  <c r="N16" i="5"/>
  <c r="N48" i="5"/>
  <c r="N41" i="5"/>
  <c r="N34" i="5"/>
  <c r="N27" i="5"/>
  <c r="N20" i="5"/>
  <c r="N13" i="5"/>
  <c r="N43" i="5"/>
  <c r="N38" i="5"/>
  <c r="N31" i="5"/>
  <c r="K39" i="5"/>
  <c r="K15" i="5"/>
  <c r="K35" i="5"/>
  <c r="K11" i="5"/>
  <c r="K21" i="5"/>
  <c r="K37" i="5"/>
  <c r="K25" i="5"/>
  <c r="E2" i="5"/>
  <c r="K40" i="5"/>
  <c r="N24" i="5"/>
  <c r="N17" i="5"/>
  <c r="N10" i="5"/>
  <c r="N42" i="5"/>
  <c r="N35" i="5"/>
  <c r="N28" i="5"/>
  <c r="N21" i="5"/>
  <c r="N14" i="5"/>
  <c r="N46" i="5"/>
  <c r="N39" i="5"/>
  <c r="K47" i="5"/>
  <c r="K31" i="5"/>
  <c r="K44" i="5"/>
  <c r="K33" i="5"/>
  <c r="K16" i="5"/>
  <c r="K42" i="5"/>
  <c r="K22" i="5"/>
  <c r="K41" i="5"/>
  <c r="K43" i="5"/>
  <c r="K18" i="5"/>
  <c r="N32" i="5"/>
  <c r="N25" i="5"/>
  <c r="N18" i="5"/>
  <c r="N11" i="5"/>
  <c r="N45" i="5"/>
  <c r="N36" i="5"/>
  <c r="N29" i="5"/>
  <c r="N22" i="5"/>
  <c r="N15" i="5"/>
  <c r="N47" i="5"/>
  <c r="K23" i="5"/>
  <c r="K27" i="5"/>
  <c r="K12" i="5"/>
  <c r="K45" i="5"/>
  <c r="K46" i="5"/>
  <c r="K17" i="5"/>
  <c r="K28" i="5"/>
  <c r="K36" i="5"/>
  <c r="N30" i="5"/>
  <c r="N19" i="5"/>
  <c r="N9" i="5"/>
  <c r="N37" i="5"/>
  <c r="N26" i="5"/>
  <c r="N44" i="5"/>
  <c r="N33" i="5"/>
  <c r="N23" i="5"/>
  <c r="N12" i="5"/>
  <c r="N40" i="5"/>
  <c r="T14" i="8" l="1"/>
  <c r="U14" i="8"/>
  <c r="V14" i="8" s="1"/>
  <c r="W14" i="8" s="1"/>
  <c r="U12" i="8"/>
  <c r="V12" i="8" s="1"/>
  <c r="W12" i="8" s="1"/>
  <c r="T12" i="8"/>
  <c r="O9" i="8"/>
  <c r="O13" i="8"/>
  <c r="O12" i="8"/>
  <c r="O14" i="8"/>
  <c r="U13" i="8"/>
  <c r="V13" i="8" s="1"/>
  <c r="W13" i="8" s="1"/>
  <c r="T13" i="8"/>
  <c r="O11" i="8"/>
  <c r="P11" i="8" s="1"/>
  <c r="S11" i="8" s="1"/>
  <c r="O10" i="8"/>
  <c r="P10" i="8" s="1"/>
  <c r="V9" i="8"/>
  <c r="W9" i="8" s="1"/>
  <c r="O18" i="5"/>
  <c r="P18" i="5" s="1"/>
  <c r="R18" i="5" s="1"/>
  <c r="S18" i="5" s="1"/>
  <c r="T18" i="5" s="1"/>
  <c r="U18" i="5" s="1"/>
  <c r="G18" i="1" s="1"/>
  <c r="H18" i="1" s="1"/>
  <c r="L18" i="1" s="1"/>
  <c r="O43" i="5"/>
  <c r="P43" i="5" s="1"/>
  <c r="R43" i="5" s="1"/>
  <c r="S43" i="5" s="1"/>
  <c r="T43" i="5" s="1"/>
  <c r="U43" i="5" s="1"/>
  <c r="G43" i="1" s="1"/>
  <c r="H43" i="1" s="1"/>
  <c r="I43" i="1" s="1"/>
  <c r="O41" i="5"/>
  <c r="P41" i="5" s="1"/>
  <c r="R41" i="5" s="1"/>
  <c r="S41" i="5" s="1"/>
  <c r="T41" i="5" s="1"/>
  <c r="U41" i="5" s="1"/>
  <c r="G41" i="1" s="1"/>
  <c r="H41" i="1" s="1"/>
  <c r="L41" i="1" s="1"/>
  <c r="O15" i="5"/>
  <c r="P15" i="5" s="1"/>
  <c r="R15" i="5" s="1"/>
  <c r="S15" i="5" s="1"/>
  <c r="T15" i="5" s="1"/>
  <c r="U15" i="5" s="1"/>
  <c r="G15" i="1" s="1"/>
  <c r="H15" i="1" s="1"/>
  <c r="I15" i="1" s="1"/>
  <c r="O36" i="5"/>
  <c r="P36" i="5" s="1"/>
  <c r="R36" i="5" s="1"/>
  <c r="S36" i="5" s="1"/>
  <c r="T36" i="5" s="1"/>
  <c r="U36" i="5" s="1"/>
  <c r="G36" i="1" s="1"/>
  <c r="O10" i="5"/>
  <c r="P10" i="5" s="1"/>
  <c r="R10" i="5" s="1"/>
  <c r="S10" i="5" s="1"/>
  <c r="T10" i="5" s="1"/>
  <c r="U10" i="5" s="1"/>
  <c r="G10" i="1" s="1"/>
  <c r="H10" i="1" s="1"/>
  <c r="I10" i="1" s="1"/>
  <c r="O35" i="5"/>
  <c r="P35" i="5" s="1"/>
  <c r="R35" i="5" s="1"/>
  <c r="S35" i="5" s="1"/>
  <c r="T35" i="5" s="1"/>
  <c r="U35" i="5" s="1"/>
  <c r="G35" i="1" s="1"/>
  <c r="O37" i="5"/>
  <c r="P37" i="5" s="1"/>
  <c r="R37" i="5" s="1"/>
  <c r="S37" i="5" s="1"/>
  <c r="T37" i="5" s="1"/>
  <c r="U37" i="5" s="1"/>
  <c r="G37" i="1" s="1"/>
  <c r="H37" i="1" s="1"/>
  <c r="I37" i="1" s="1"/>
  <c r="O46" i="5"/>
  <c r="P46" i="5" s="1"/>
  <c r="R46" i="5" s="1"/>
  <c r="S46" i="5" s="1"/>
  <c r="T46" i="5" s="1"/>
  <c r="U46" i="5" s="1"/>
  <c r="G46" i="1" s="1"/>
  <c r="H46" i="1" s="1"/>
  <c r="I46" i="1" s="1"/>
  <c r="O28" i="5"/>
  <c r="P28" i="5" s="1"/>
  <c r="R28" i="5" s="1"/>
  <c r="S28" i="5" s="1"/>
  <c r="T28" i="5" s="1"/>
  <c r="U28" i="5" s="1"/>
  <c r="G28" i="1" s="1"/>
  <c r="H28" i="1" s="1"/>
  <c r="I28" i="1" s="1"/>
  <c r="O34" i="5"/>
  <c r="P34" i="5" s="1"/>
  <c r="R34" i="5" s="1"/>
  <c r="S34" i="5" s="1"/>
  <c r="T34" i="5" s="1"/>
  <c r="U34" i="5" s="1"/>
  <c r="G34" i="1" s="1"/>
  <c r="O16" i="5"/>
  <c r="P16" i="5" s="1"/>
  <c r="R16" i="5" s="1"/>
  <c r="S16" i="5" s="1"/>
  <c r="T16" i="5" s="1"/>
  <c r="U16" i="5" s="1"/>
  <c r="G16" i="1" s="1"/>
  <c r="O17" i="5"/>
  <c r="P17" i="5" s="1"/>
  <c r="R17" i="5" s="1"/>
  <c r="S17" i="5" s="1"/>
  <c r="T17" i="5" s="1"/>
  <c r="U17" i="5" s="1"/>
  <c r="G17" i="1" s="1"/>
  <c r="H17" i="1" s="1"/>
  <c r="J17" i="1" s="1"/>
  <c r="K17" i="1" s="1"/>
  <c r="O31" i="5"/>
  <c r="P31" i="5" s="1"/>
  <c r="R31" i="5" s="1"/>
  <c r="S31" i="5" s="1"/>
  <c r="T31" i="5" s="1"/>
  <c r="U31" i="5" s="1"/>
  <c r="G31" i="1" s="1"/>
  <c r="H31" i="1" s="1"/>
  <c r="I31" i="1" s="1"/>
  <c r="O21" i="5"/>
  <c r="P21" i="5" s="1"/>
  <c r="R21" i="5" s="1"/>
  <c r="S21" i="5" s="1"/>
  <c r="T21" i="5" s="1"/>
  <c r="U21" i="5" s="1"/>
  <c r="G21" i="1" s="1"/>
  <c r="O26" i="5"/>
  <c r="P26" i="5" s="1"/>
  <c r="R26" i="5" s="1"/>
  <c r="S26" i="5" s="1"/>
  <c r="T26" i="5" s="1"/>
  <c r="U26" i="5" s="1"/>
  <c r="G26" i="1" s="1"/>
  <c r="O9" i="5"/>
  <c r="P9" i="5" s="1"/>
  <c r="R9" i="5" s="1"/>
  <c r="S9" i="5" s="1"/>
  <c r="T9" i="5" s="1"/>
  <c r="O29" i="5"/>
  <c r="P29" i="5" s="1"/>
  <c r="R29" i="5" s="1"/>
  <c r="S29" i="5" s="1"/>
  <c r="T29" i="5" s="1"/>
  <c r="U29" i="5" s="1"/>
  <c r="G29" i="1" s="1"/>
  <c r="O23" i="5"/>
  <c r="P23" i="5" s="1"/>
  <c r="R23" i="5" s="1"/>
  <c r="S23" i="5" s="1"/>
  <c r="T23" i="5" s="1"/>
  <c r="U23" i="5" s="1"/>
  <c r="G23" i="1" s="1"/>
  <c r="H23" i="1" s="1"/>
  <c r="J23" i="1" s="1"/>
  <c r="K23" i="1" s="1"/>
  <c r="O44" i="5"/>
  <c r="P44" i="5" s="1"/>
  <c r="R44" i="5" s="1"/>
  <c r="S44" i="5" s="1"/>
  <c r="T44" i="5" s="1"/>
  <c r="U44" i="5" s="1"/>
  <c r="G44" i="1" s="1"/>
  <c r="H44" i="1" s="1"/>
  <c r="J44" i="1" s="1"/>
  <c r="K44" i="1" s="1"/>
  <c r="O11" i="5"/>
  <c r="P11" i="5" s="1"/>
  <c r="R11" i="5" s="1"/>
  <c r="S11" i="5" s="1"/>
  <c r="T11" i="5" s="1"/>
  <c r="U11" i="5" s="1"/>
  <c r="G11" i="1" s="1"/>
  <c r="H11" i="1" s="1"/>
  <c r="I11" i="1" s="1"/>
  <c r="O32" i="5"/>
  <c r="P32" i="5" s="1"/>
  <c r="R32" i="5" s="1"/>
  <c r="S32" i="5" s="1"/>
  <c r="T32" i="5" s="1"/>
  <c r="U32" i="5" s="1"/>
  <c r="G32" i="1" s="1"/>
  <c r="H32" i="1" s="1"/>
  <c r="I32" i="1" s="1"/>
  <c r="O22" i="5"/>
  <c r="P22" i="5" s="1"/>
  <c r="R22" i="5" s="1"/>
  <c r="S22" i="5" s="1"/>
  <c r="T22" i="5" s="1"/>
  <c r="U22" i="5" s="1"/>
  <c r="G22" i="1" s="1"/>
  <c r="O48" i="5"/>
  <c r="P48" i="5" s="1"/>
  <c r="R48" i="5" s="1"/>
  <c r="S48" i="5" s="1"/>
  <c r="T48" i="5" s="1"/>
  <c r="U48" i="5" s="1"/>
  <c r="G48" i="1" s="1"/>
  <c r="O13" i="5"/>
  <c r="O42" i="5"/>
  <c r="P42" i="5" s="1"/>
  <c r="R42" i="5" s="1"/>
  <c r="S42" i="5" s="1"/>
  <c r="T42" i="5" s="1"/>
  <c r="U42" i="5" s="1"/>
  <c r="G42" i="1" s="1"/>
  <c r="H42" i="1" s="1"/>
  <c r="L42" i="1" s="1"/>
  <c r="O24" i="5"/>
  <c r="P24" i="5" s="1"/>
  <c r="R24" i="5" s="1"/>
  <c r="S24" i="5" s="1"/>
  <c r="T24" i="5" s="1"/>
  <c r="U24" i="5" s="1"/>
  <c r="G24" i="1" s="1"/>
  <c r="O14" i="5"/>
  <c r="P14" i="5" s="1"/>
  <c r="R14" i="5" s="1"/>
  <c r="S14" i="5" s="1"/>
  <c r="T14" i="5" s="1"/>
  <c r="U14" i="5" s="1"/>
  <c r="G14" i="1" s="1"/>
  <c r="H14" i="1" s="1"/>
  <c r="I14" i="1" s="1"/>
  <c r="O39" i="5"/>
  <c r="P39" i="5" s="1"/>
  <c r="R39" i="5" s="1"/>
  <c r="S39" i="5" s="1"/>
  <c r="T39" i="5" s="1"/>
  <c r="U39" i="5" s="1"/>
  <c r="G39" i="1" s="1"/>
  <c r="H39" i="1" s="1"/>
  <c r="I39" i="1" s="1"/>
  <c r="O25" i="5"/>
  <c r="P25" i="5" s="1"/>
  <c r="R25" i="5" s="1"/>
  <c r="S25" i="5" s="1"/>
  <c r="T25" i="5" s="1"/>
  <c r="U25" i="5" s="1"/>
  <c r="G25" i="1" s="1"/>
  <c r="O27" i="5"/>
  <c r="P27" i="5" s="1"/>
  <c r="R27" i="5" s="1"/>
  <c r="S27" i="5" s="1"/>
  <c r="T27" i="5" s="1"/>
  <c r="U27" i="5" s="1"/>
  <c r="G27" i="1" s="1"/>
  <c r="H27" i="1" s="1"/>
  <c r="O47" i="5"/>
  <c r="P47" i="5" s="1"/>
  <c r="R47" i="5" s="1"/>
  <c r="S47" i="5" s="1"/>
  <c r="T47" i="5" s="1"/>
  <c r="U47" i="5" s="1"/>
  <c r="G47" i="1" s="1"/>
  <c r="H47" i="1" s="1"/>
  <c r="J47" i="1" s="1"/>
  <c r="K47" i="1" s="1"/>
  <c r="O38" i="5"/>
  <c r="P38" i="5" s="1"/>
  <c r="R38" i="5" s="1"/>
  <c r="S38" i="5" s="1"/>
  <c r="T38" i="5" s="1"/>
  <c r="U38" i="5" s="1"/>
  <c r="G38" i="1" s="1"/>
  <c r="H38" i="1" s="1"/>
  <c r="J38" i="1" s="1"/>
  <c r="K38" i="1" s="1"/>
  <c r="O20" i="5"/>
  <c r="P20" i="5" s="1"/>
  <c r="R20" i="5" s="1"/>
  <c r="S20" i="5" s="1"/>
  <c r="T20" i="5" s="1"/>
  <c r="U20" i="5" s="1"/>
  <c r="G20" i="1" s="1"/>
  <c r="H20" i="1" s="1"/>
  <c r="I20" i="1" s="1"/>
  <c r="O33" i="5"/>
  <c r="P33" i="5" s="1"/>
  <c r="R33" i="5" s="1"/>
  <c r="S33" i="5" s="1"/>
  <c r="T33" i="5" s="1"/>
  <c r="U33" i="5" s="1"/>
  <c r="G33" i="1" s="1"/>
  <c r="H33" i="1" s="1"/>
  <c r="J33" i="1" s="1"/>
  <c r="K33" i="1" s="1"/>
  <c r="O19" i="5"/>
  <c r="P19" i="5" s="1"/>
  <c r="R19" i="5" s="1"/>
  <c r="S19" i="5" s="1"/>
  <c r="T19" i="5" s="1"/>
  <c r="U19" i="5" s="1"/>
  <c r="G19" i="1" s="1"/>
  <c r="O40" i="5"/>
  <c r="P40" i="5" s="1"/>
  <c r="R40" i="5" s="1"/>
  <c r="S40" i="5" s="1"/>
  <c r="T40" i="5" s="1"/>
  <c r="U40" i="5" s="1"/>
  <c r="G40" i="1" s="1"/>
  <c r="H40" i="1" s="1"/>
  <c r="I40" i="1" s="1"/>
  <c r="O30" i="5"/>
  <c r="P30" i="5" s="1"/>
  <c r="R30" i="5" s="1"/>
  <c r="S30" i="5" s="1"/>
  <c r="T30" i="5" s="1"/>
  <c r="U30" i="5" s="1"/>
  <c r="G30" i="1" s="1"/>
  <c r="O12" i="5"/>
  <c r="P12" i="5" s="1"/>
  <c r="R12" i="5" s="1"/>
  <c r="S12" i="5" s="1"/>
  <c r="T12" i="5" s="1"/>
  <c r="U12" i="5" s="1"/>
  <c r="G12" i="1" s="1"/>
  <c r="H12" i="1" s="1"/>
  <c r="O45" i="5"/>
  <c r="P45" i="5" s="1"/>
  <c r="R45" i="5" s="1"/>
  <c r="S45" i="5" s="1"/>
  <c r="T45" i="5" s="1"/>
  <c r="U45" i="5" s="1"/>
  <c r="G45" i="1" s="1"/>
  <c r="U9" i="5" l="1"/>
  <c r="G9" i="1" s="1"/>
  <c r="H9" i="1" s="1"/>
  <c r="L9" i="1" s="1"/>
  <c r="S10" i="8"/>
  <c r="U10" i="8" s="1"/>
  <c r="V10" i="8" s="1"/>
  <c r="W10" i="8" s="1"/>
  <c r="P15" i="8"/>
  <c r="I18" i="1"/>
  <c r="P13" i="5"/>
  <c r="R13" i="5" s="1"/>
  <c r="S13" i="5" s="1"/>
  <c r="T13" i="5" s="1"/>
  <c r="U13" i="5" s="1"/>
  <c r="G13" i="1" s="1"/>
  <c r="L14" i="1"/>
  <c r="J11" i="1"/>
  <c r="K11" i="1" s="1"/>
  <c r="L43" i="1"/>
  <c r="L37" i="1"/>
  <c r="J37" i="1"/>
  <c r="K37" i="1" s="1"/>
  <c r="J39" i="1"/>
  <c r="K39" i="1" s="1"/>
  <c r="L38" i="1"/>
  <c r="I47" i="1"/>
  <c r="L46" i="1"/>
  <c r="L47" i="1"/>
  <c r="J18" i="1"/>
  <c r="K18" i="1" s="1"/>
  <c r="J40" i="1"/>
  <c r="K40" i="1" s="1"/>
  <c r="J46" i="1"/>
  <c r="K46" i="1" s="1"/>
  <c r="L17" i="1"/>
  <c r="J15" i="1"/>
  <c r="K15" i="1" s="1"/>
  <c r="L44" i="1"/>
  <c r="J14" i="1"/>
  <c r="K14" i="1" s="1"/>
  <c r="L31" i="1"/>
  <c r="L15" i="1"/>
  <c r="I44" i="1"/>
  <c r="J10" i="1"/>
  <c r="K10" i="1" s="1"/>
  <c r="L12" i="1"/>
  <c r="I12" i="1"/>
  <c r="J32" i="1"/>
  <c r="K32" i="1" s="1"/>
  <c r="L28" i="1"/>
  <c r="I42" i="1"/>
  <c r="I38" i="1"/>
  <c r="L39" i="1"/>
  <c r="J28" i="1"/>
  <c r="K28" i="1" s="1"/>
  <c r="H24" i="1"/>
  <c r="J24" i="1" s="1"/>
  <c r="K24" i="1" s="1"/>
  <c r="H22" i="1"/>
  <c r="I22" i="1" s="1"/>
  <c r="H21" i="1"/>
  <c r="I21" i="1" s="1"/>
  <c r="H34" i="1"/>
  <c r="I34" i="1" s="1"/>
  <c r="H35" i="1"/>
  <c r="I35" i="1" s="1"/>
  <c r="U11" i="8"/>
  <c r="V11" i="8" s="1"/>
  <c r="W11" i="8" s="1"/>
  <c r="T11" i="8"/>
  <c r="I23" i="1"/>
  <c r="I33" i="1"/>
  <c r="J12" i="1"/>
  <c r="K12" i="1" s="1"/>
  <c r="J41" i="1"/>
  <c r="K41" i="1" s="1"/>
  <c r="H30" i="1"/>
  <c r="I30" i="1" s="1"/>
  <c r="H25" i="1"/>
  <c r="I25" i="1" s="1"/>
  <c r="H29" i="1"/>
  <c r="I29" i="1" s="1"/>
  <c r="L32" i="1"/>
  <c r="J20" i="1"/>
  <c r="K20" i="1" s="1"/>
  <c r="J31" i="1"/>
  <c r="K31" i="1" s="1"/>
  <c r="J42" i="1"/>
  <c r="K42" i="1" s="1"/>
  <c r="I41" i="1"/>
  <c r="L10" i="1"/>
  <c r="L27" i="1"/>
  <c r="L33" i="1"/>
  <c r="H36" i="1"/>
  <c r="I36" i="1" s="1"/>
  <c r="J43" i="1"/>
  <c r="K43" i="1" s="1"/>
  <c r="I17" i="1"/>
  <c r="I27" i="1"/>
  <c r="L11" i="1"/>
  <c r="L23" i="1"/>
  <c r="L20" i="1"/>
  <c r="J27" i="1"/>
  <c r="K27" i="1" s="1"/>
  <c r="L40" i="1"/>
  <c r="H45" i="1"/>
  <c r="L45" i="1" s="1"/>
  <c r="H19" i="1"/>
  <c r="I19" i="1" s="1"/>
  <c r="H48" i="1"/>
  <c r="I48" i="1" s="1"/>
  <c r="H26" i="1"/>
  <c r="I26" i="1" s="1"/>
  <c r="H16" i="1"/>
  <c r="I16" i="1" s="1"/>
  <c r="T9" i="8"/>
  <c r="T10" i="8" l="1"/>
  <c r="T15" i="8" s="1"/>
  <c r="H13" i="1"/>
  <c r="L13" i="1" s="1"/>
  <c r="C55" i="1"/>
  <c r="G3" i="1"/>
  <c r="G2" i="1"/>
  <c r="C54" i="1"/>
  <c r="G51" i="1"/>
  <c r="D54" i="1"/>
  <c r="B54" i="1"/>
  <c r="B55" i="1"/>
  <c r="D55" i="1"/>
  <c r="L48" i="1"/>
  <c r="L22" i="1"/>
  <c r="L16" i="1"/>
  <c r="I45" i="1"/>
  <c r="J45" i="1"/>
  <c r="K45" i="1" s="1"/>
  <c r="L25" i="1"/>
  <c r="J34" i="1"/>
  <c r="K34" i="1" s="1"/>
  <c r="L35" i="1"/>
  <c r="L21" i="1"/>
  <c r="L26" i="1"/>
  <c r="L29" i="1"/>
  <c r="J30" i="1"/>
  <c r="K30" i="1" s="1"/>
  <c r="L34" i="1"/>
  <c r="J21" i="1"/>
  <c r="K21" i="1" s="1"/>
  <c r="I24" i="1"/>
  <c r="L19" i="1"/>
  <c r="J19" i="1"/>
  <c r="K19" i="1" s="1"/>
  <c r="J16" i="1"/>
  <c r="K16" i="1" s="1"/>
  <c r="J29" i="1"/>
  <c r="K29" i="1" s="1"/>
  <c r="J25" i="1"/>
  <c r="K25" i="1" s="1"/>
  <c r="J36" i="1"/>
  <c r="K36" i="1" s="1"/>
  <c r="I9" i="1"/>
  <c r="J9" i="1"/>
  <c r="K9" i="1" s="1"/>
  <c r="J26" i="1"/>
  <c r="K26" i="1" s="1"/>
  <c r="J48" i="1"/>
  <c r="K48" i="1" s="1"/>
  <c r="L36" i="1"/>
  <c r="L30" i="1"/>
  <c r="J35" i="1"/>
  <c r="K35" i="1" s="1"/>
  <c r="J22" i="1"/>
  <c r="K22" i="1" s="1"/>
  <c r="L24" i="1"/>
  <c r="C56" i="1" l="1"/>
  <c r="C57" i="1" s="1"/>
  <c r="C4" i="1" s="1"/>
  <c r="D56" i="1"/>
  <c r="D57" i="1" s="1"/>
  <c r="D4" i="1" s="1"/>
  <c r="I13" i="1"/>
  <c r="I51" i="1" s="1"/>
  <c r="I6" i="1" s="1"/>
  <c r="J13" i="1"/>
  <c r="K13" i="1" s="1"/>
  <c r="L2" i="1" s="1"/>
  <c r="G4" i="1"/>
  <c r="B56" i="1"/>
  <c r="B57" i="1" s="1"/>
  <c r="B4" i="1" s="1"/>
  <c r="L51" i="1"/>
  <c r="E4" i="1" s="1"/>
  <c r="L3" i="1" l="1"/>
  <c r="J3" i="1"/>
  <c r="J4" i="1" s="1"/>
  <c r="H6" i="7" s="1"/>
</calcChain>
</file>

<file path=xl/comments1.xml><?xml version="1.0" encoding="utf-8"?>
<comments xmlns="http://schemas.openxmlformats.org/spreadsheetml/2006/main">
  <authors>
    <author>Admindavid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</rPr>
          <t>To check calculation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Admindavid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Calculated with HSPiP if it is available as reference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<sst xmlns="http://schemas.openxmlformats.org/spreadsheetml/2006/main" count="456" uniqueCount="286">
  <si>
    <t>HSP Sphere</t>
  </si>
  <si>
    <t>dD</t>
  </si>
  <si>
    <t>dP</t>
  </si>
  <si>
    <t>dH</t>
  </si>
  <si>
    <t>R</t>
  </si>
  <si>
    <t>Good</t>
  </si>
  <si>
    <t>Scaling</t>
  </si>
  <si>
    <t>Wrong Out</t>
  </si>
  <si>
    <t>Bad</t>
  </si>
  <si>
    <t>Fit</t>
  </si>
  <si>
    <t>Wrong In</t>
  </si>
  <si>
    <t>Test Value</t>
  </si>
  <si>
    <t>Total</t>
  </si>
  <si>
    <t>Fit %</t>
  </si>
  <si>
    <t>Delta</t>
  </si>
  <si>
    <t>Distance</t>
  </si>
  <si>
    <t>RED</t>
  </si>
  <si>
    <t>Function</t>
  </si>
  <si>
    <t>Solvents</t>
  </si>
  <si>
    <t>MVol</t>
  </si>
  <si>
    <t>Score</t>
  </si>
  <si>
    <t>Error</t>
  </si>
  <si>
    <t>Ra Good Solv.</t>
  </si>
  <si>
    <t>Solvents tested</t>
  </si>
  <si>
    <t>Total Error</t>
  </si>
  <si>
    <t>Max</t>
  </si>
  <si>
    <t>MAX</t>
  </si>
  <si>
    <t>MIN</t>
  </si>
  <si>
    <t xml:space="preserve">SOLUTE'S COORDINATES </t>
  </si>
  <si>
    <t>n-Propyl Acetate</t>
  </si>
  <si>
    <t>Dimethyl  Isosorbide</t>
  </si>
  <si>
    <t>Diacetone Alcohol</t>
  </si>
  <si>
    <t>Anisole</t>
  </si>
  <si>
    <t>Butyl Diglycol Acetate</t>
  </si>
  <si>
    <t>Tetrahydrofuran (Thf)</t>
  </si>
  <si>
    <t>Iso-Butyl Isobutyrate</t>
  </si>
  <si>
    <t>Methylene Chloride</t>
  </si>
  <si>
    <t>Benzyl Alcohol</t>
  </si>
  <si>
    <t>Cyrene</t>
  </si>
  <si>
    <t>Diethylene Glycol Monobutyl Ether</t>
  </si>
  <si>
    <t>Dipropylene Glycol</t>
  </si>
  <si>
    <t>d-Limonene</t>
  </si>
  <si>
    <t>Ethylene Carbonate</t>
  </si>
  <si>
    <t>Glycerol Carbonate</t>
  </si>
  <si>
    <t>Iso-Propyl Acetate</t>
  </si>
  <si>
    <t>Tetrahydrofurfuryl Alcohol</t>
  </si>
  <si>
    <t>Xylene</t>
  </si>
  <si>
    <t>ethanol</t>
  </si>
  <si>
    <t>1 propanol</t>
  </si>
  <si>
    <t>2 propanol</t>
  </si>
  <si>
    <t>ethyl acetate</t>
  </si>
  <si>
    <t>1-butanol</t>
  </si>
  <si>
    <t>2-butanol</t>
  </si>
  <si>
    <t>Acetone</t>
  </si>
  <si>
    <t>Acetonitrile</t>
  </si>
  <si>
    <t>Cyclohexane</t>
  </si>
  <si>
    <t>Dimethyl sulfoxide (DMSO)</t>
  </si>
  <si>
    <t>Ethanol</t>
  </si>
  <si>
    <t>Heptane</t>
  </si>
  <si>
    <t>Hexane</t>
  </si>
  <si>
    <t>Methanol</t>
  </si>
  <si>
    <t>Methyl acetate</t>
  </si>
  <si>
    <t>Methyl ethyl ketone (MEK)</t>
  </si>
  <si>
    <t>Methyl-t-butyl ether (MTBE)</t>
  </si>
  <si>
    <t>Propylene glycol</t>
  </si>
  <si>
    <t>Toluene</t>
  </si>
  <si>
    <t>Water</t>
  </si>
  <si>
    <t>Property Estimation - Joback Method</t>
  </si>
  <si>
    <t>Date</t>
  </si>
  <si>
    <t>Chemical Engineering Spreadsheets</t>
  </si>
  <si>
    <t>By</t>
  </si>
  <si>
    <t>CheSheets</t>
  </si>
  <si>
    <t>Non-ring groups</t>
  </si>
  <si>
    <t>Oxygen groups</t>
  </si>
  <si>
    <t>-OH (alcohol)</t>
  </si>
  <si>
    <t>-OH (phenol)</t>
  </si>
  <si>
    <t>&gt;CH-</t>
  </si>
  <si>
    <t>-O- (nonring)</t>
  </si>
  <si>
    <t>&gt;C&lt;</t>
  </si>
  <si>
    <t>-O- (ring)</t>
  </si>
  <si>
    <t>=CH2</t>
  </si>
  <si>
    <t>&gt;C=O (nonring)</t>
  </si>
  <si>
    <t>=CH-</t>
  </si>
  <si>
    <t>&gt;C=O (ring)</t>
  </si>
  <si>
    <t>=C&lt;</t>
  </si>
  <si>
    <t>O=CH- (aldehyde)</t>
  </si>
  <si>
    <t>=C=</t>
  </si>
  <si>
    <t>-COOH (acid)</t>
  </si>
  <si>
    <t>≡CH</t>
  </si>
  <si>
    <t>-COO- (ester)</t>
  </si>
  <si>
    <t>≡C-</t>
  </si>
  <si>
    <t>=O (other than above)</t>
  </si>
  <si>
    <t>Ring groups</t>
  </si>
  <si>
    <t>Nitrogen groups</t>
  </si>
  <si>
    <t>-NH2</t>
  </si>
  <si>
    <t>&gt;NH (non-ring)</t>
  </si>
  <si>
    <t>&gt;NH (ring)</t>
  </si>
  <si>
    <t>&gt;N-(nonring)</t>
  </si>
  <si>
    <t>-N= (nonring)</t>
  </si>
  <si>
    <t>Halogen groups</t>
  </si>
  <si>
    <t>-N= (ring)</t>
  </si>
  <si>
    <t>-F</t>
  </si>
  <si>
    <t>=NH</t>
  </si>
  <si>
    <t>-Cl</t>
  </si>
  <si>
    <t>-CN</t>
  </si>
  <si>
    <t>-Br</t>
  </si>
  <si>
    <t>-NO2</t>
  </si>
  <si>
    <t>-I</t>
  </si>
  <si>
    <t>Sulfur groups</t>
  </si>
  <si>
    <t>-SH</t>
  </si>
  <si>
    <t>-S- (nonring)</t>
  </si>
  <si>
    <t>-S- (ring)</t>
  </si>
  <si>
    <t>PHYSICAL PROPERTIES</t>
  </si>
  <si>
    <t>Molecular Weight</t>
  </si>
  <si>
    <t>g/mol</t>
  </si>
  <si>
    <t>Normal Boiling Point, Tnbp</t>
  </si>
  <si>
    <t>K</t>
  </si>
  <si>
    <t>Critical Temperature, Tc</t>
  </si>
  <si>
    <t>Critical Pressure, Pc</t>
  </si>
  <si>
    <t>bar</t>
  </si>
  <si>
    <t>Critical Volume, Vc</t>
  </si>
  <si>
    <t>cm³/mol</t>
  </si>
  <si>
    <t>Critical Compressibility, Zc</t>
  </si>
  <si>
    <t>Freezing Point</t>
  </si>
  <si>
    <t>Heat of Formation, (Ideal Gas 298 K)</t>
  </si>
  <si>
    <t>kJ/mol</t>
  </si>
  <si>
    <t>Gibbs Energy of Formation</t>
  </si>
  <si>
    <t>Heat of Vaporization at Tnbp</t>
  </si>
  <si>
    <t>Heat of Fusion</t>
  </si>
  <si>
    <t>Properties at Temperature</t>
  </si>
  <si>
    <t>Reduced Temperature, Tr</t>
  </si>
  <si>
    <t>Heat Capacity, Ideal Gas, Cp</t>
  </si>
  <si>
    <t>J/mol.K</t>
  </si>
  <si>
    <t>Heat of Vaporization</t>
  </si>
  <si>
    <t>Liquid Viscosity</t>
  </si>
  <si>
    <t>Pa.s</t>
  </si>
  <si>
    <t>Liquid Density</t>
  </si>
  <si>
    <t>g/cm³</t>
  </si>
  <si>
    <t>Vapor Pressure</t>
  </si>
  <si>
    <t>Group</t>
  </si>
  <si>
    <t>a</t>
  </si>
  <si>
    <t>b</t>
  </si>
  <si>
    <t>c</t>
  </si>
  <si>
    <t>d</t>
  </si>
  <si>
    <t>Molecular</t>
  </si>
  <si>
    <t>No. of</t>
  </si>
  <si>
    <t>Critical State Data</t>
  </si>
  <si>
    <t>Temperatures</t>
  </si>
  <si>
    <t>Chemical Caloric</t>
  </si>
  <si>
    <t>Ideal Gas Heat Capacities</t>
  </si>
  <si>
    <t>Enthalpies</t>
  </si>
  <si>
    <t>Dynamic Viscosity</t>
  </si>
  <si>
    <t>Weight</t>
  </si>
  <si>
    <t>Atoms</t>
  </si>
  <si>
    <t>of Phase Transitions</t>
  </si>
  <si>
    <t>Properties</t>
  </si>
  <si>
    <t>0.0129</t>
  </si>
  <si>
    <t>n. a.</t>
  </si>
  <si>
    <t>0.0082</t>
  </si>
  <si>
    <t>0.0143</t>
  </si>
  <si>
    <t>Accentric Factor Estimation</t>
  </si>
  <si>
    <t>Pc</t>
  </si>
  <si>
    <t>atm</t>
  </si>
  <si>
    <t>Tr</t>
  </si>
  <si>
    <t>ω</t>
  </si>
  <si>
    <t>Heat Capacity, Ideal Gas</t>
  </si>
  <si>
    <t>A</t>
  </si>
  <si>
    <t>B</t>
  </si>
  <si>
    <t>C</t>
  </si>
  <si>
    <t>D</t>
  </si>
  <si>
    <t>Molar Mass</t>
  </si>
  <si>
    <t>density</t>
  </si>
  <si>
    <t>Fd</t>
  </si>
  <si>
    <t>Fp</t>
  </si>
  <si>
    <t>Eh</t>
  </si>
  <si>
    <t>Count</t>
  </si>
  <si>
    <t>Vm det</t>
  </si>
  <si>
    <t>Optional</t>
  </si>
  <si>
    <t>CH3</t>
  </si>
  <si>
    <t>-CH2-</t>
  </si>
  <si>
    <t>δD</t>
  </si>
  <si>
    <t>-CH&lt;</t>
  </si>
  <si>
    <t>δP</t>
  </si>
  <si>
    <t>-C6 aliphatic</t>
  </si>
  <si>
    <t>δH</t>
  </si>
  <si>
    <t>-C6 aromatic</t>
  </si>
  <si>
    <t>-C6- aromatic o,m,p</t>
  </si>
  <si>
    <t>δt</t>
  </si>
  <si>
    <t>-OH</t>
  </si>
  <si>
    <t>-O-</t>
  </si>
  <si>
    <t>-COH</t>
  </si>
  <si>
    <t>&gt;C=O</t>
  </si>
  <si>
    <t>-COOH</t>
  </si>
  <si>
    <t>-COO-</t>
  </si>
  <si>
    <t>HCOO-</t>
  </si>
  <si>
    <t>-NH-</t>
  </si>
  <si>
    <t>-N&lt;</t>
  </si>
  <si>
    <t>-S-</t>
  </si>
  <si>
    <t>&gt;PO4-</t>
  </si>
  <si>
    <t>Ring</t>
  </si>
  <si>
    <t>V1</t>
  </si>
  <si>
    <t>Y-MB</t>
  </si>
  <si>
    <t>ΔH° fusion</t>
  </si>
  <si>
    <t>Van Krevelen</t>
  </si>
  <si>
    <t>Tfus</t>
  </si>
  <si>
    <t>PM solido</t>
  </si>
  <si>
    <t>densidad sol</t>
  </si>
  <si>
    <t>sparingly</t>
  </si>
  <si>
    <t>moderadamente</t>
  </si>
  <si>
    <t>no</t>
  </si>
  <si>
    <t>Solvent</t>
  </si>
  <si>
    <t>PM</t>
  </si>
  <si>
    <t>dt</t>
  </si>
  <si>
    <t>dd</t>
  </si>
  <si>
    <t>dp</t>
  </si>
  <si>
    <t>Ra</t>
  </si>
  <si>
    <t>Vol Molar</t>
  </si>
  <si>
    <t>Solub molar</t>
  </si>
  <si>
    <t>Solub Masica</t>
  </si>
  <si>
    <t>SCORE</t>
  </si>
  <si>
    <t>Cyclohexanol</t>
  </si>
  <si>
    <t>Ethyl lactate</t>
  </si>
  <si>
    <t>Mthyl Cyclohexane</t>
  </si>
  <si>
    <t>Metodo</t>
  </si>
  <si>
    <t>R0</t>
  </si>
  <si>
    <t>fit</t>
  </si>
  <si>
    <t>Excel</t>
  </si>
  <si>
    <t>Buen solv literatura</t>
  </si>
  <si>
    <t>x1</t>
  </si>
  <si>
    <t>TERM 1 Φi</t>
  </si>
  <si>
    <t>TERM 2 Φj</t>
  </si>
  <si>
    <t>ɣ</t>
  </si>
  <si>
    <t>xt</t>
  </si>
  <si>
    <t>α</t>
  </si>
  <si>
    <t>Parte solv/partes soluto</t>
  </si>
  <si>
    <r>
      <t xml:space="preserve">TERM3 </t>
    </r>
    <r>
      <rPr>
        <b/>
        <sz val="18"/>
        <rFont val="Arial"/>
        <family val="2"/>
      </rPr>
      <t>χ</t>
    </r>
    <r>
      <rPr>
        <b/>
        <sz val="12"/>
        <rFont val="Arial"/>
        <family val="2"/>
      </rPr>
      <t>ij</t>
    </r>
  </si>
  <si>
    <t>Solub molar exp</t>
  </si>
  <si>
    <t>opcion</t>
  </si>
  <si>
    <t>SCR</t>
  </si>
  <si>
    <t>Product name</t>
  </si>
  <si>
    <t>Molar mass (g/mol)</t>
  </si>
  <si>
    <t>fusion enthalpy (kJ/mol)</t>
  </si>
  <si>
    <t>fusion temperature (K)</t>
  </si>
  <si>
    <t>density (g/cc)</t>
  </si>
  <si>
    <t>R (universal gas constant J/mol.K)</t>
  </si>
  <si>
    <t>Canonical SMILE</t>
  </si>
  <si>
    <t>,</t>
  </si>
  <si>
    <t>TERM 1 Φipara 1=1</t>
  </si>
  <si>
    <t>TERM 2 Φi para i=2</t>
  </si>
  <si>
    <r>
      <t xml:space="preserve">TERM3 </t>
    </r>
    <r>
      <rPr>
        <b/>
        <sz val="18"/>
        <rFont val="Arial"/>
        <family val="2"/>
      </rPr>
      <t>χ</t>
    </r>
    <r>
      <rPr>
        <b/>
        <sz val="12"/>
        <rFont val="Arial"/>
        <family val="2"/>
      </rPr>
      <t>ij option 1</t>
    </r>
  </si>
  <si>
    <r>
      <t xml:space="preserve">TERM3 </t>
    </r>
    <r>
      <rPr>
        <b/>
        <sz val="18"/>
        <rFont val="Arial"/>
        <family val="2"/>
      </rPr>
      <t>χ</t>
    </r>
    <r>
      <rPr>
        <b/>
        <sz val="12"/>
        <rFont val="Arial"/>
        <family val="2"/>
      </rPr>
      <t>ij option 2</t>
    </r>
    <r>
      <rPr>
        <sz val="11"/>
        <color theme="1"/>
        <rFont val="Calibri"/>
        <family val="2"/>
        <scheme val="minor"/>
      </rPr>
      <t/>
    </r>
  </si>
  <si>
    <t>Xt calculation</t>
  </si>
  <si>
    <t>Solubility estimation</t>
  </si>
  <si>
    <r>
      <t>-CH</t>
    </r>
    <r>
      <rPr>
        <vertAlign val="subscript"/>
        <sz val="11"/>
        <color rgb="FF000000"/>
        <rFont val="Arial"/>
        <family val="2"/>
      </rPr>
      <t>3</t>
    </r>
  </si>
  <si>
    <r>
      <t>-CH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</t>
    </r>
  </si>
  <si>
    <t>Acentric Factor, ω</t>
  </si>
  <si>
    <r>
      <t>T</t>
    </r>
    <r>
      <rPr>
        <b/>
        <vertAlign val="subscript"/>
        <sz val="11"/>
        <color rgb="FF000000"/>
        <rFont val="Arial"/>
        <family val="2"/>
      </rPr>
      <t>c</t>
    </r>
  </si>
  <si>
    <r>
      <t>P</t>
    </r>
    <r>
      <rPr>
        <b/>
        <vertAlign val="subscript"/>
        <sz val="11"/>
        <color rgb="FF000000"/>
        <rFont val="Arial"/>
        <family val="2"/>
      </rPr>
      <t>c</t>
    </r>
  </si>
  <si>
    <r>
      <t>V</t>
    </r>
    <r>
      <rPr>
        <b/>
        <vertAlign val="subscript"/>
        <sz val="11"/>
        <color rgb="FF000000"/>
        <rFont val="Arial"/>
        <family val="2"/>
      </rPr>
      <t>c</t>
    </r>
  </si>
  <si>
    <r>
      <t>T</t>
    </r>
    <r>
      <rPr>
        <b/>
        <vertAlign val="subscript"/>
        <sz val="11"/>
        <color rgb="FF000000"/>
        <rFont val="Arial"/>
        <family val="2"/>
      </rPr>
      <t>b</t>
    </r>
  </si>
  <si>
    <r>
      <t>T</t>
    </r>
    <r>
      <rPr>
        <b/>
        <vertAlign val="subscript"/>
        <sz val="11"/>
        <color rgb="FF000000"/>
        <rFont val="Arial"/>
        <family val="2"/>
      </rPr>
      <t>m</t>
    </r>
  </si>
  <si>
    <r>
      <t>H</t>
    </r>
    <r>
      <rPr>
        <b/>
        <vertAlign val="subscript"/>
        <sz val="11"/>
        <color rgb="FF000000"/>
        <rFont val="Arial"/>
        <family val="2"/>
      </rPr>
      <t>form</t>
    </r>
  </si>
  <si>
    <r>
      <t>G</t>
    </r>
    <r>
      <rPr>
        <b/>
        <vertAlign val="subscript"/>
        <sz val="11"/>
        <color rgb="FF000000"/>
        <rFont val="Arial"/>
        <family val="2"/>
      </rPr>
      <t>form</t>
    </r>
  </si>
  <si>
    <r>
      <t>H</t>
    </r>
    <r>
      <rPr>
        <b/>
        <vertAlign val="subscript"/>
        <sz val="11"/>
        <color rgb="FF000000"/>
        <rFont val="Arial"/>
        <family val="2"/>
      </rPr>
      <t>fusion</t>
    </r>
  </si>
  <si>
    <r>
      <t>H</t>
    </r>
    <r>
      <rPr>
        <b/>
        <vertAlign val="subscript"/>
        <sz val="11"/>
        <color rgb="FF000000"/>
        <rFont val="Arial"/>
        <family val="2"/>
      </rPr>
      <t>vap</t>
    </r>
  </si>
  <si>
    <r>
      <t>=CH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&lt;</t>
    </r>
  </si>
  <si>
    <t>Instruction</t>
  </si>
  <si>
    <t>Select sheet "Calculation" and estimate fusion heat</t>
  </si>
  <si>
    <t>Select sheet "Van Krevelen" and and get a trial values of HSP</t>
  </si>
  <si>
    <t>If there are information about experimental solubility in solvents, use it to select Flory-Higgin chi models (Hansen or Hildebrand)</t>
  </si>
  <si>
    <t>In sheet "Vanillic acid" choose option and estimate both good and bad solvents</t>
  </si>
  <si>
    <t xml:space="preserve">Select sheet "HP Sphere" and run solver add-in to calculate HSP and Hansen sphere </t>
  </si>
  <si>
    <t>Coumarin</t>
  </si>
  <si>
    <t>C1=CC=C2C(=C1)C=CC(=O)O2</t>
  </si>
  <si>
    <t>methanol</t>
  </si>
  <si>
    <t>hexane</t>
  </si>
  <si>
    <t>cyclohexane</t>
  </si>
  <si>
    <t>Literature HSPiP</t>
  </si>
  <si>
    <t>chloroform</t>
  </si>
  <si>
    <t>Diethyl ether</t>
  </si>
  <si>
    <t>Pyridine</t>
  </si>
  <si>
    <t>1 butanol</t>
  </si>
  <si>
    <t>1 pentanol</t>
  </si>
  <si>
    <t>1 octanol</t>
  </si>
  <si>
    <t xml:space="preserve"> TERM 1 Φi para i=1</t>
  </si>
  <si>
    <t>Input data information available (Yellow cells in all sheets)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</si>
</sst>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"/>
    <numFmt numFmtId="165" formatCode="0.0000"/>
    <numFmt numFmtId="166" formatCode="###0.00;###0.00"/>
    <numFmt numFmtId="167" formatCode="###0.0;###0.0"/>
    <numFmt numFmtId="168" formatCode="0.000"/>
    <numFmt numFmtId="169" formatCode="0.00000"/>
    <numFmt numFmtId="170" formatCode="0.0000000"/>
    <numFmt numFmtId="171" formatCode="0.0000E+00"/>
    <numFmt numFmtId="172" formatCode="###0;###0"/>
    <numFmt numFmtId="173" formatCode="0.000E+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22"/>
      <color theme="1"/>
      <name val="Calibri"/>
      <family val="2"/>
    </font>
    <font>
      <sz val="12"/>
      <color theme="1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3" tint="0.39997558519241921"/>
      <name val="Arial"/>
      <family val="2"/>
    </font>
    <font>
      <sz val="11"/>
      <color indexed="8"/>
      <name val="Arial"/>
      <family val="2"/>
    </font>
    <font>
      <sz val="16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953734"/>
      <name val="Arial"/>
      <family val="2"/>
    </font>
    <font>
      <u/>
      <sz val="11"/>
      <color rgb="FF0000FF"/>
      <name val="Arial"/>
      <family val="2"/>
    </font>
    <font>
      <i/>
      <sz val="11"/>
      <color rgb="FF000000"/>
      <name val="Arial"/>
      <family val="2"/>
    </font>
    <font>
      <i/>
      <sz val="11"/>
      <color rgb="FF4F6128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vertAlign val="subscript"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7030A0"/>
      <name val="Arial"/>
      <family val="2"/>
    </font>
    <font>
      <b/>
      <i/>
      <sz val="11"/>
      <color rgb="FF632423"/>
      <name val="Arial"/>
      <family val="2"/>
    </font>
    <font>
      <i/>
      <sz val="11"/>
      <color rgb="FF7030A0"/>
      <name val="Arial"/>
      <family val="2"/>
    </font>
    <font>
      <b/>
      <vertAlign val="subscript"/>
      <sz val="11"/>
      <color rgb="FF000000"/>
      <name val="Arial"/>
      <family val="2"/>
    </font>
    <font>
      <sz val="8"/>
      <color rgb="FF000000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548DD4"/>
        <bgColor rgb="FF548DD4"/>
      </patternFill>
    </fill>
    <fill>
      <patternFill patternType="solid">
        <fgColor rgb="FF4F6128"/>
        <bgColor rgb="FF4F6128"/>
      </patternFill>
    </fill>
    <fill>
      <patternFill patternType="solid">
        <fgColor rgb="FFFFF0F0"/>
        <bgColor rgb="FFFFF0F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E5E5E5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165">
    <xf numFmtId="0" fontId="0" fillId="0" borderId="0" xfId="0"/>
    <xf numFmtId="166" fontId="2" fillId="2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3" fillId="0" borderId="0" xfId="1" applyFont="1"/>
    <xf numFmtId="0" fontId="4" fillId="0" borderId="0" xfId="1" applyFont="1"/>
    <xf numFmtId="2" fontId="3" fillId="0" borderId="0" xfId="1" applyNumberFormat="1" applyFont="1"/>
    <xf numFmtId="0" fontId="4" fillId="0" borderId="0" xfId="1" applyFont="1" applyAlignment="1">
      <alignment horizontal="center"/>
    </xf>
    <xf numFmtId="0" fontId="3" fillId="0" borderId="0" xfId="1" applyFont="1" applyFill="1"/>
    <xf numFmtId="11" fontId="3" fillId="0" borderId="0" xfId="1" applyNumberFormat="1" applyFont="1"/>
    <xf numFmtId="0" fontId="6" fillId="0" borderId="0" xfId="3" applyFont="1" applyAlignment="1"/>
    <xf numFmtId="0" fontId="3" fillId="0" borderId="0" xfId="0" applyFont="1"/>
    <xf numFmtId="2" fontId="3" fillId="0" borderId="0" xfId="0" applyNumberFormat="1" applyFont="1"/>
    <xf numFmtId="2" fontId="2" fillId="2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Fill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173" fontId="3" fillId="0" borderId="0" xfId="0" applyNumberFormat="1" applyFont="1"/>
    <xf numFmtId="165" fontId="3" fillId="0" borderId="0" xfId="3" applyNumberFormat="1" applyFont="1"/>
    <xf numFmtId="11" fontId="3" fillId="0" borderId="0" xfId="0" applyNumberFormat="1" applyFont="1"/>
    <xf numFmtId="164" fontId="3" fillId="0" borderId="0" xfId="0" applyNumberFormat="1" applyFont="1"/>
    <xf numFmtId="172" fontId="2" fillId="2" borderId="1" xfId="0" applyNumberFormat="1" applyFont="1" applyFill="1" applyBorder="1" applyAlignment="1">
      <alignment horizontal="center" vertical="top" wrapText="1"/>
    </xf>
    <xf numFmtId="172" fontId="2" fillId="2" borderId="0" xfId="0" applyNumberFormat="1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0" borderId="4" xfId="4" applyNumberFormat="1" applyFont="1" applyFill="1" applyBorder="1" applyAlignment="1">
      <alignment horizontal="center"/>
    </xf>
    <xf numFmtId="2" fontId="3" fillId="0" borderId="0" xfId="1" applyNumberFormat="1" applyFont="1" applyFill="1"/>
    <xf numFmtId="0" fontId="8" fillId="0" borderId="0" xfId="1" applyFont="1" applyAlignment="1">
      <alignment horizontal="center"/>
    </xf>
    <xf numFmtId="173" fontId="3" fillId="0" borderId="0" xfId="1" applyNumberFormat="1" applyFont="1"/>
    <xf numFmtId="168" fontId="3" fillId="0" borderId="0" xfId="1" applyNumberFormat="1" applyFont="1"/>
    <xf numFmtId="11" fontId="3" fillId="0" borderId="24" xfId="1" applyNumberFormat="1" applyFont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11" fontId="3" fillId="0" borderId="0" xfId="1" applyNumberFormat="1" applyFont="1" applyBorder="1"/>
    <xf numFmtId="0" fontId="12" fillId="0" borderId="0" xfId="0" applyFont="1"/>
    <xf numFmtId="0" fontId="13" fillId="0" borderId="0" xfId="3" applyFont="1" applyAlignment="1"/>
    <xf numFmtId="2" fontId="12" fillId="0" borderId="0" xfId="1" applyNumberFormat="1" applyFont="1"/>
    <xf numFmtId="0" fontId="12" fillId="0" borderId="0" xfId="1" applyFont="1" applyFill="1"/>
    <xf numFmtId="0" fontId="12" fillId="0" borderId="0" xfId="1" applyFont="1"/>
    <xf numFmtId="0" fontId="14" fillId="0" borderId="0" xfId="1" applyFont="1"/>
    <xf numFmtId="0" fontId="12" fillId="0" borderId="0" xfId="1" applyFont="1" applyAlignment="1">
      <alignment horizontal="center"/>
    </xf>
    <xf numFmtId="164" fontId="12" fillId="0" borderId="0" xfId="1" applyNumberFormat="1" applyFont="1"/>
    <xf numFmtId="164" fontId="12" fillId="0" borderId="0" xfId="1" applyNumberFormat="1" applyFont="1" applyFill="1"/>
    <xf numFmtId="9" fontId="12" fillId="0" borderId="0" xfId="2" applyFont="1"/>
    <xf numFmtId="0" fontId="15" fillId="0" borderId="0" xfId="1" applyFont="1"/>
    <xf numFmtId="165" fontId="12" fillId="0" borderId="0" xfId="1" applyNumberFormat="1" applyFont="1"/>
    <xf numFmtId="0" fontId="14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6" fillId="0" borderId="1" xfId="1" applyFont="1" applyFill="1" applyBorder="1" applyAlignment="1">
      <alignment horizontal="left" vertical="top" wrapText="1"/>
    </xf>
    <xf numFmtId="166" fontId="16" fillId="2" borderId="1" xfId="1" applyNumberFormat="1" applyFont="1" applyFill="1" applyBorder="1" applyAlignment="1">
      <alignment horizontal="center" vertical="top" wrapText="1"/>
    </xf>
    <xf numFmtId="2" fontId="12" fillId="0" borderId="0" xfId="1" applyNumberFormat="1" applyFont="1" applyAlignment="1">
      <alignment horizontal="center"/>
    </xf>
    <xf numFmtId="11" fontId="12" fillId="0" borderId="0" xfId="1" applyNumberFormat="1" applyFont="1"/>
    <xf numFmtId="0" fontId="16" fillId="2" borderId="0" xfId="1" applyFont="1" applyFill="1" applyAlignment="1">
      <alignment horizontal="left" vertical="top" wrapText="1"/>
    </xf>
    <xf numFmtId="166" fontId="16" fillId="2" borderId="0" xfId="1" applyNumberFormat="1" applyFont="1" applyFill="1" applyAlignment="1">
      <alignment horizontal="center" vertical="top" wrapText="1"/>
    </xf>
    <xf numFmtId="167" fontId="16" fillId="2" borderId="0" xfId="1" applyNumberFormat="1" applyFont="1" applyFill="1" applyAlignment="1">
      <alignment horizontal="center" vertical="top" wrapText="1"/>
    </xf>
    <xf numFmtId="165" fontId="12" fillId="0" borderId="0" xfId="1" applyNumberFormat="1" applyFont="1" applyAlignment="1">
      <alignment horizontal="center"/>
    </xf>
    <xf numFmtId="168" fontId="12" fillId="0" borderId="0" xfId="1" applyNumberFormat="1" applyFont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4" xfId="1" applyFont="1" applyBorder="1"/>
    <xf numFmtId="168" fontId="12" fillId="0" borderId="4" xfId="1" applyNumberFormat="1" applyFont="1" applyBorder="1" applyAlignment="1">
      <alignment horizontal="center"/>
    </xf>
    <xf numFmtId="0" fontId="14" fillId="0" borderId="5" xfId="1" applyFont="1" applyBorder="1"/>
    <xf numFmtId="0" fontId="14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2" fillId="0" borderId="8" xfId="1" applyFont="1" applyBorder="1"/>
    <xf numFmtId="0" fontId="12" fillId="0" borderId="2" xfId="1" applyFont="1" applyBorder="1"/>
    <xf numFmtId="0" fontId="12" fillId="0" borderId="3" xfId="1" applyFont="1" applyBorder="1"/>
    <xf numFmtId="0" fontId="12" fillId="0" borderId="5" xfId="1" applyFont="1" applyBorder="1"/>
    <xf numFmtId="0" fontId="12" fillId="0" borderId="6" xfId="1" applyFont="1" applyBorder="1"/>
    <xf numFmtId="0" fontId="12" fillId="0" borderId="7" xfId="1" applyFont="1" applyBorder="1"/>
    <xf numFmtId="0" fontId="12" fillId="0" borderId="9" xfId="1" applyFont="1" applyBorder="1"/>
    <xf numFmtId="0" fontId="12" fillId="0" borderId="0" xfId="1" applyFont="1" applyBorder="1"/>
    <xf numFmtId="0" fontId="12" fillId="0" borderId="10" xfId="1" applyFont="1" applyBorder="1"/>
    <xf numFmtId="164" fontId="12" fillId="0" borderId="0" xfId="1" applyNumberFormat="1" applyFont="1" applyBorder="1"/>
    <xf numFmtId="164" fontId="12" fillId="0" borderId="2" xfId="1" applyNumberFormat="1" applyFont="1" applyBorder="1"/>
    <xf numFmtId="0" fontId="12" fillId="0" borderId="0" xfId="4" applyFont="1"/>
    <xf numFmtId="2" fontId="12" fillId="0" borderId="4" xfId="4" applyNumberFormat="1" applyFont="1" applyFill="1" applyBorder="1"/>
    <xf numFmtId="164" fontId="12" fillId="0" borderId="0" xfId="4" applyNumberFormat="1" applyFont="1"/>
    <xf numFmtId="0" fontId="14" fillId="0" borderId="4" xfId="4" applyFont="1" applyBorder="1"/>
    <xf numFmtId="0" fontId="14" fillId="0" borderId="4" xfId="4" applyFont="1" applyBorder="1" applyAlignment="1">
      <alignment horizontal="center"/>
    </xf>
    <xf numFmtId="0" fontId="12" fillId="0" borderId="0" xfId="4" applyFont="1" applyFill="1" applyBorder="1" applyAlignment="1">
      <alignment horizontal="left"/>
    </xf>
    <xf numFmtId="49" fontId="12" fillId="0" borderId="4" xfId="4" applyNumberFormat="1" applyFont="1" applyBorder="1" applyAlignment="1">
      <alignment vertical="center" wrapText="1"/>
    </xf>
    <xf numFmtId="0" fontId="12" fillId="0" borderId="4" xfId="4" applyFont="1" applyBorder="1" applyAlignment="1">
      <alignment horizontal="center" vertical="center" wrapText="1"/>
    </xf>
    <xf numFmtId="0" fontId="17" fillId="0" borderId="0" xfId="4" applyFont="1"/>
    <xf numFmtId="164" fontId="17" fillId="0" borderId="0" xfId="4" applyNumberFormat="1" applyFont="1"/>
    <xf numFmtId="49" fontId="12" fillId="0" borderId="4" xfId="4" applyNumberFormat="1" applyFont="1" applyFill="1" applyBorder="1" applyAlignment="1">
      <alignment vertical="center" wrapText="1"/>
    </xf>
    <xf numFmtId="0" fontId="18" fillId="0" borderId="0" xfId="3" applyFont="1" applyAlignment="1">
      <alignment horizontal="center"/>
    </xf>
    <xf numFmtId="168" fontId="20" fillId="0" borderId="0" xfId="3" applyNumberFormat="1" applyFont="1" applyAlignment="1"/>
    <xf numFmtId="0" fontId="21" fillId="0" borderId="0" xfId="3" applyFont="1" applyAlignment="1"/>
    <xf numFmtId="15" fontId="21" fillId="3" borderId="0" xfId="3" applyNumberFormat="1" applyFont="1" applyFill="1" applyBorder="1" applyAlignment="1">
      <alignment horizontal="left"/>
    </xf>
    <xf numFmtId="168" fontId="22" fillId="0" borderId="0" xfId="3" applyNumberFormat="1" applyFont="1" applyAlignment="1"/>
    <xf numFmtId="0" fontId="21" fillId="3" borderId="0" xfId="3" applyFont="1" applyFill="1" applyBorder="1" applyAlignment="1">
      <alignment horizontal="left"/>
    </xf>
    <xf numFmtId="0" fontId="13" fillId="0" borderId="0" xfId="3" applyFont="1" applyAlignment="1">
      <alignment horizontal="left" vertical="center" wrapText="1"/>
    </xf>
    <xf numFmtId="0" fontId="13" fillId="3" borderId="0" xfId="3" applyFont="1" applyFill="1" applyBorder="1" applyAlignment="1">
      <alignment horizontal="center"/>
    </xf>
    <xf numFmtId="0" fontId="13" fillId="0" borderId="0" xfId="3" applyFont="1" applyAlignment="1">
      <alignment horizontal="left" vertical="center"/>
    </xf>
    <xf numFmtId="0" fontId="13" fillId="0" borderId="0" xfId="3" quotePrefix="1" applyFont="1" applyAlignment="1">
      <alignment horizontal="left" vertical="center" wrapText="1"/>
    </xf>
    <xf numFmtId="0" fontId="27" fillId="0" borderId="0" xfId="3" applyFont="1" applyAlignment="1">
      <alignment horizontal="center"/>
    </xf>
    <xf numFmtId="2" fontId="13" fillId="0" borderId="0" xfId="3" applyNumberFormat="1" applyFont="1" applyAlignment="1"/>
    <xf numFmtId="165" fontId="13" fillId="0" borderId="0" xfId="3" applyNumberFormat="1" applyFont="1" applyAlignment="1"/>
    <xf numFmtId="0" fontId="28" fillId="0" borderId="11" xfId="3" applyFont="1" applyBorder="1" applyAlignment="1"/>
    <xf numFmtId="0" fontId="29" fillId="0" borderId="11" xfId="3" applyFont="1" applyBorder="1" applyAlignment="1">
      <alignment horizontal="center"/>
    </xf>
    <xf numFmtId="0" fontId="13" fillId="3" borderId="11" xfId="3" applyFont="1" applyFill="1" applyBorder="1" applyAlignment="1"/>
    <xf numFmtId="168" fontId="13" fillId="0" borderId="0" xfId="3" applyNumberFormat="1" applyFont="1" applyAlignment="1"/>
    <xf numFmtId="11" fontId="13" fillId="0" borderId="0" xfId="3" applyNumberFormat="1" applyFont="1" applyAlignment="1"/>
    <xf numFmtId="0" fontId="13" fillId="0" borderId="12" xfId="3" applyFont="1" applyBorder="1" applyAlignment="1"/>
    <xf numFmtId="0" fontId="18" fillId="0" borderId="12" xfId="3" applyFont="1" applyBorder="1" applyAlignment="1">
      <alignment horizontal="left" vertical="center"/>
    </xf>
    <xf numFmtId="0" fontId="18" fillId="0" borderId="12" xfId="3" applyFont="1" applyBorder="1" applyAlignment="1">
      <alignment horizontal="center" vertical="center"/>
    </xf>
    <xf numFmtId="0" fontId="13" fillId="6" borderId="12" xfId="3" applyFont="1" applyFill="1" applyBorder="1" applyAlignment="1">
      <alignment vertical="center"/>
    </xf>
    <xf numFmtId="0" fontId="13" fillId="0" borderId="12" xfId="3" applyFont="1" applyBorder="1" applyAlignment="1">
      <alignment horizontal="left" vertical="center"/>
    </xf>
    <xf numFmtId="0" fontId="13" fillId="0" borderId="12" xfId="3" applyFont="1" applyBorder="1" applyAlignment="1">
      <alignment horizontal="right" vertical="center"/>
    </xf>
    <xf numFmtId="11" fontId="13" fillId="0" borderId="12" xfId="3" applyNumberFormat="1" applyFont="1" applyBorder="1" applyAlignment="1">
      <alignment horizontal="right" vertical="center"/>
    </xf>
    <xf numFmtId="169" fontId="13" fillId="0" borderId="12" xfId="3" applyNumberFormat="1" applyFont="1" applyBorder="1" applyAlignment="1"/>
    <xf numFmtId="170" fontId="13" fillId="0" borderId="12" xfId="3" applyNumberFormat="1" applyFont="1" applyBorder="1" applyAlignment="1"/>
    <xf numFmtId="0" fontId="18" fillId="0" borderId="0" xfId="3" applyFont="1" applyAlignment="1">
      <alignment horizontal="left" vertical="center"/>
    </xf>
    <xf numFmtId="0" fontId="18" fillId="0" borderId="0" xfId="3" applyFont="1" applyAlignment="1"/>
    <xf numFmtId="171" fontId="13" fillId="0" borderId="0" xfId="3" applyNumberFormat="1" applyFont="1" applyAlignment="1"/>
    <xf numFmtId="0" fontId="14" fillId="0" borderId="0" xfId="0" applyFont="1"/>
    <xf numFmtId="0" fontId="12" fillId="0" borderId="4" xfId="4" applyFont="1" applyFill="1" applyBorder="1"/>
    <xf numFmtId="165" fontId="3" fillId="0" borderId="0" xfId="1" applyNumberFormat="1" applyFont="1" applyFill="1"/>
    <xf numFmtId="2" fontId="14" fillId="7" borderId="0" xfId="1" applyNumberFormat="1" applyFont="1" applyFill="1"/>
    <xf numFmtId="0" fontId="5" fillId="0" borderId="0" xfId="3" applyFont="1" applyAlignment="1"/>
    <xf numFmtId="0" fontId="5" fillId="3" borderId="0" xfId="3" applyFont="1" applyFill="1" applyBorder="1" applyAlignment="1">
      <alignment horizontal="center"/>
    </xf>
    <xf numFmtId="0" fontId="32" fillId="8" borderId="1" xfId="1" applyFont="1" applyFill="1" applyBorder="1" applyAlignment="1">
      <alignment horizontal="left" vertical="top" wrapText="1"/>
    </xf>
    <xf numFmtId="0" fontId="32" fillId="8" borderId="0" xfId="1" applyFont="1" applyFill="1" applyBorder="1" applyAlignment="1">
      <alignment horizontal="left" vertical="top" wrapText="1"/>
    </xf>
    <xf numFmtId="0" fontId="7" fillId="0" borderId="4" xfId="3" applyFont="1" applyBorder="1" applyAlignment="1"/>
    <xf numFmtId="0" fontId="7" fillId="0" borderId="4" xfId="3" applyFont="1" applyBorder="1" applyAlignment="1">
      <alignment horizontal="center"/>
    </xf>
    <xf numFmtId="0" fontId="7" fillId="0" borderId="4" xfId="3" applyFont="1" applyFill="1" applyBorder="1" applyAlignment="1">
      <alignment horizontal="center"/>
    </xf>
    <xf numFmtId="0" fontId="6" fillId="0" borderId="4" xfId="3" applyFont="1" applyBorder="1" applyAlignment="1"/>
    <xf numFmtId="2" fontId="6" fillId="0" borderId="4" xfId="3" applyNumberFormat="1" applyFont="1" applyBorder="1" applyAlignment="1">
      <alignment horizontal="center"/>
    </xf>
    <xf numFmtId="0" fontId="5" fillId="0" borderId="4" xfId="3" applyFont="1" applyBorder="1" applyAlignment="1"/>
    <xf numFmtId="0" fontId="2" fillId="0" borderId="4" xfId="0" applyFont="1" applyFill="1" applyBorder="1" applyAlignment="1">
      <alignment horizontal="left" vertical="top" wrapText="1"/>
    </xf>
    <xf numFmtId="166" fontId="2" fillId="0" borderId="4" xfId="0" applyNumberFormat="1" applyFont="1" applyFill="1" applyBorder="1" applyAlignment="1">
      <alignment horizontal="center" vertical="top" wrapText="1"/>
    </xf>
    <xf numFmtId="2" fontId="6" fillId="0" borderId="4" xfId="3" applyNumberFormat="1" applyFont="1" applyFill="1" applyBorder="1" applyAlignment="1">
      <alignment horizontal="center"/>
    </xf>
    <xf numFmtId="166" fontId="2" fillId="0" borderId="4" xfId="1" applyNumberFormat="1" applyFont="1" applyFill="1" applyBorder="1" applyAlignment="1">
      <alignment horizontal="center" vertical="top" wrapText="1"/>
    </xf>
    <xf numFmtId="2" fontId="4" fillId="0" borderId="4" xfId="4" applyNumberFormat="1" applyFont="1" applyFill="1" applyBorder="1" applyAlignment="1">
      <alignment horizontal="center"/>
    </xf>
    <xf numFmtId="2" fontId="7" fillId="0" borderId="23" xfId="3" applyNumberFormat="1" applyFont="1" applyBorder="1" applyAlignment="1">
      <alignment horizontal="center"/>
    </xf>
    <xf numFmtId="0" fontId="7" fillId="0" borderId="22" xfId="3" applyFont="1" applyFill="1" applyBorder="1" applyAlignment="1">
      <alignment horizontal="center"/>
    </xf>
    <xf numFmtId="168" fontId="4" fillId="0" borderId="0" xfId="0" applyNumberFormat="1" applyFont="1"/>
    <xf numFmtId="173" fontId="4" fillId="0" borderId="0" xfId="0" applyNumberFormat="1" applyFont="1"/>
    <xf numFmtId="0" fontId="26" fillId="4" borderId="11" xfId="3" applyFont="1" applyFill="1" applyBorder="1" applyAlignment="1">
      <alignment horizontal="center" vertical="center"/>
    </xf>
    <xf numFmtId="0" fontId="24" fillId="0" borderId="11" xfId="3" applyFont="1" applyBorder="1"/>
    <xf numFmtId="0" fontId="19" fillId="0" borderId="0" xfId="3" applyFont="1" applyAlignment="1">
      <alignment horizontal="center"/>
    </xf>
    <xf numFmtId="0" fontId="13" fillId="0" borderId="0" xfId="3" applyFont="1" applyAlignment="1"/>
    <xf numFmtId="0" fontId="23" fillId="4" borderId="11" xfId="3" applyFont="1" applyFill="1" applyBorder="1" applyAlignment="1">
      <alignment horizontal="center" vertical="center"/>
    </xf>
    <xf numFmtId="0" fontId="23" fillId="5" borderId="0" xfId="3" applyFont="1" applyFill="1" applyBorder="1" applyAlignment="1">
      <alignment horizontal="center"/>
    </xf>
    <xf numFmtId="0" fontId="24" fillId="0" borderId="0" xfId="3" applyFont="1" applyBorder="1"/>
    <xf numFmtId="0" fontId="13" fillId="0" borderId="13" xfId="3" applyFont="1" applyBorder="1" applyAlignment="1">
      <alignment horizontal="left" vertical="center"/>
    </xf>
    <xf numFmtId="0" fontId="24" fillId="0" borderId="19" xfId="3" applyFont="1" applyBorder="1"/>
    <xf numFmtId="0" fontId="13" fillId="0" borderId="14" xfId="3" applyFont="1" applyBorder="1" applyAlignment="1">
      <alignment vertical="center"/>
    </xf>
    <xf numFmtId="0" fontId="24" fillId="0" borderId="15" xfId="3" applyFont="1" applyBorder="1"/>
    <xf numFmtId="0" fontId="24" fillId="0" borderId="16" xfId="3" applyFont="1" applyBorder="1"/>
    <xf numFmtId="0" fontId="24" fillId="0" borderId="20" xfId="3" applyFont="1" applyBorder="1"/>
    <xf numFmtId="0" fontId="24" fillId="0" borderId="21" xfId="3" applyFont="1" applyBorder="1"/>
    <xf numFmtId="0" fontId="13" fillId="0" borderId="17" xfId="3" applyFont="1" applyBorder="1" applyAlignment="1">
      <alignment vertical="center"/>
    </xf>
    <xf numFmtId="0" fontId="24" fillId="0" borderId="18" xfId="3" applyFont="1" applyBorder="1"/>
    <xf numFmtId="0" fontId="3" fillId="0" borderId="0" xfId="0" applyFont="1" applyAlignment="1">
      <alignment horizontal="right"/>
    </xf>
    <xf numFmtId="0" fontId="14" fillId="0" borderId="2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3" fillId="3" borderId="0" xfId="3" applyFont="1" applyFill="1" applyBorder="1" applyAlignment="1">
      <alignment horizontal="right" indent="1"/>
    </xf>
    <xf numFmtId="0" fontId="13" fillId="3" borderId="4" xfId="3" applyFont="1" applyFill="1" applyBorder="1" applyAlignment="1">
      <alignment horizontal="center"/>
    </xf>
    <xf numFmtId="11" fontId="13" fillId="3" borderId="4" xfId="3" applyNumberFormat="1" applyFont="1" applyFill="1" applyBorder="1" applyAlignment="1">
      <alignment horizontal="center"/>
    </xf>
    <xf numFmtId="11" fontId="3" fillId="0" borderId="0" xfId="0" applyNumberFormat="1" applyFont="1" applyFill="1"/>
    <xf numFmtId="0" fontId="6" fillId="3" borderId="4" xfId="3" applyFont="1" applyFill="1" applyBorder="1" applyAlignment="1">
      <alignment horizontal="center"/>
    </xf>
  </cellXfs>
  <cellStyles count="5">
    <cellStyle name="Normal" xfId="0" builtinId="0"/>
    <cellStyle name="Normal 2" xfId="1"/>
    <cellStyle name="Normal 2 2" xfId="3"/>
    <cellStyle name="Normal 2 2 2" xfId="4"/>
    <cellStyle name="Porcentaje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$N$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C$1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6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7</xdr:col>
      <xdr:colOff>247333</xdr:colOff>
      <xdr:row>10</xdr:row>
      <xdr:rowOff>37905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381000"/>
          <a:ext cx="2533333" cy="1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14</xdr:col>
      <xdr:colOff>227013</xdr:colOff>
      <xdr:row>14</xdr:row>
      <xdr:rowOff>68385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5920" y="1066800"/>
          <a:ext cx="2624773" cy="1500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4</xdr:row>
      <xdr:rowOff>163845</xdr:rowOff>
    </xdr:from>
    <xdr:to>
      <xdr:col>11</xdr:col>
      <xdr:colOff>580872</xdr:colOff>
      <xdr:row>8</xdr:row>
      <xdr:rowOff>133267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0576" y="925845"/>
          <a:ext cx="1295246" cy="702847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8</xdr:row>
      <xdr:rowOff>0</xdr:rowOff>
    </xdr:from>
    <xdr:to>
      <xdr:col>11</xdr:col>
      <xdr:colOff>704675</xdr:colOff>
      <xdr:row>11</xdr:row>
      <xdr:rowOff>180885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9625" y="1676400"/>
          <a:ext cx="1400000" cy="7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11</xdr:row>
      <xdr:rowOff>19050</xdr:rowOff>
    </xdr:from>
    <xdr:to>
      <xdr:col>11</xdr:col>
      <xdr:colOff>676107</xdr:colOff>
      <xdr:row>14</xdr:row>
      <xdr:rowOff>85649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0" y="2495550"/>
          <a:ext cx="1342857" cy="609524"/>
        </a:xfrm>
        <a:prstGeom prst="rect">
          <a:avLst/>
        </a:prstGeom>
      </xdr:spPr>
    </xdr:pic>
    <xdr:clientData/>
  </xdr:twoCellAnchor>
  <xdr:twoCellAnchor editAs="oneCell">
    <xdr:from>
      <xdr:col>12</xdr:col>
      <xdr:colOff>335280</xdr:colOff>
      <xdr:row>2</xdr:row>
      <xdr:rowOff>60960</xdr:rowOff>
    </xdr:from>
    <xdr:to>
      <xdr:col>15</xdr:col>
      <xdr:colOff>613093</xdr:colOff>
      <xdr:row>9</xdr:row>
      <xdr:rowOff>81085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49840" y="406400"/>
          <a:ext cx="2624773" cy="1500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711200</xdr:colOff>
      <xdr:row>8</xdr:row>
      <xdr:rowOff>165100</xdr:rowOff>
    </xdr:from>
    <xdr:to>
      <xdr:col>31</xdr:col>
      <xdr:colOff>501009</xdr:colOff>
      <xdr:row>24</xdr:row>
      <xdr:rowOff>85323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2050" y="1955800"/>
          <a:ext cx="5123809" cy="3222223"/>
        </a:xfrm>
        <a:prstGeom prst="rect">
          <a:avLst/>
        </a:prstGeom>
      </xdr:spPr>
    </xdr:pic>
    <xdr:clientData/>
  </xdr:twoCellAnchor>
  <xdr:twoCellAnchor editAs="oneCell">
    <xdr:from>
      <xdr:col>26</xdr:col>
      <xdr:colOff>241300</xdr:colOff>
      <xdr:row>1</xdr:row>
      <xdr:rowOff>12700</xdr:rowOff>
    </xdr:from>
    <xdr:to>
      <xdr:col>29</xdr:col>
      <xdr:colOff>231490</xdr:colOff>
      <xdr:row>4</xdr:row>
      <xdr:rowOff>126910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96150" y="212725"/>
          <a:ext cx="2276190" cy="71428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3048000</xdr:colOff>
      <xdr:row>15</xdr:row>
      <xdr:rowOff>76200</xdr:rowOff>
    </xdr:from>
    <xdr:to>
      <xdr:col>3</xdr:col>
      <xdr:colOff>520700</xdr:colOff>
      <xdr:row>19</xdr:row>
      <xdr:rowOff>117147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9677400"/>
          <a:ext cx="1063625" cy="802947"/>
        </a:xfrm>
        <a:prstGeom prst="rect">
          <a:avLst/>
        </a:prstGeom>
      </xdr:spPr>
    </xdr:pic>
    <xdr:clientData/>
  </xdr:twoCellAnchor>
  <xdr:twoCellAnchor editAs="oneCell">
    <xdr:from>
      <xdr:col>2</xdr:col>
      <xdr:colOff>3022600</xdr:colOff>
      <xdr:row>19</xdr:row>
      <xdr:rowOff>127000</xdr:rowOff>
    </xdr:from>
    <xdr:to>
      <xdr:col>10</xdr:col>
      <xdr:colOff>389605</xdr:colOff>
      <xdr:row>21</xdr:row>
      <xdr:rowOff>168275</xdr:rowOff>
    </xdr:to>
    <xdr:pic>
      <xdr:nvPicPr>
        <xdr:cNvPr id="10" name="7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4250" y="10509250"/>
          <a:ext cx="4939380" cy="422275"/>
        </a:xfrm>
        <a:prstGeom prst="rect">
          <a:avLst/>
        </a:prstGeom>
      </xdr:spPr>
    </xdr:pic>
    <xdr:clientData/>
  </xdr:twoCellAnchor>
  <xdr:twoCellAnchor editAs="oneCell">
    <xdr:from>
      <xdr:col>2</xdr:col>
      <xdr:colOff>3073400</xdr:colOff>
      <xdr:row>24</xdr:row>
      <xdr:rowOff>88900</xdr:rowOff>
    </xdr:from>
    <xdr:to>
      <xdr:col>6</xdr:col>
      <xdr:colOff>116096</xdr:colOff>
      <xdr:row>27</xdr:row>
      <xdr:rowOff>133350</xdr:rowOff>
    </xdr:to>
    <xdr:pic>
      <xdr:nvPicPr>
        <xdr:cNvPr id="11" name="8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5050" y="11642725"/>
          <a:ext cx="2567196" cy="615950"/>
        </a:xfrm>
        <a:prstGeom prst="rect">
          <a:avLst/>
        </a:prstGeom>
      </xdr:spPr>
    </xdr:pic>
    <xdr:clientData/>
  </xdr:twoCellAnchor>
  <xdr:twoCellAnchor editAs="oneCell">
    <xdr:from>
      <xdr:col>2</xdr:col>
      <xdr:colOff>3073400</xdr:colOff>
      <xdr:row>21</xdr:row>
      <xdr:rowOff>139701</xdr:rowOff>
    </xdr:from>
    <xdr:to>
      <xdr:col>4</xdr:col>
      <xdr:colOff>457200</xdr:colOff>
      <xdr:row>24</xdr:row>
      <xdr:rowOff>168565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45050" y="11007726"/>
          <a:ext cx="1974850" cy="60036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3175000</xdr:colOff>
      <xdr:row>27</xdr:row>
      <xdr:rowOff>0</xdr:rowOff>
    </xdr:from>
    <xdr:to>
      <xdr:col>4</xdr:col>
      <xdr:colOff>196260</xdr:colOff>
      <xdr:row>30</xdr:row>
      <xdr:rowOff>73025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46650" y="12296775"/>
          <a:ext cx="1612310" cy="644525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3149600</xdr:colOff>
      <xdr:row>30</xdr:row>
      <xdr:rowOff>88900</xdr:rowOff>
    </xdr:from>
    <xdr:to>
      <xdr:col>5</xdr:col>
      <xdr:colOff>177800</xdr:colOff>
      <xdr:row>33</xdr:row>
      <xdr:rowOff>180577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1250" y="12966700"/>
          <a:ext cx="2085975" cy="6631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781050</xdr:colOff>
          <xdr:row>0</xdr:row>
          <xdr:rowOff>171450</xdr:rowOff>
        </xdr:from>
        <xdr:to>
          <xdr:col>15</xdr:col>
          <xdr:colOff>276225</xdr:colOff>
          <xdr:row>6</xdr:row>
          <xdr:rowOff>9525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FUSION HEAT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</xdr:row>
          <xdr:rowOff>142876</xdr:rowOff>
        </xdr:from>
        <xdr:to>
          <xdr:col>14</xdr:col>
          <xdr:colOff>609600</xdr:colOff>
          <xdr:row>2</xdr:row>
          <xdr:rowOff>142876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Term 3 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</xdr:row>
          <xdr:rowOff>66675</xdr:rowOff>
        </xdr:from>
        <xdr:to>
          <xdr:col>14</xdr:col>
          <xdr:colOff>438150</xdr:colOff>
          <xdr:row>4</xdr:row>
          <xdr:rowOff>95250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Term 3 option 2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711200</xdr:colOff>
      <xdr:row>8</xdr:row>
      <xdr:rowOff>165100</xdr:rowOff>
    </xdr:from>
    <xdr:to>
      <xdr:col>29</xdr:col>
      <xdr:colOff>501009</xdr:colOff>
      <xdr:row>25</xdr:row>
      <xdr:rowOff>148823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86500" y="1930400"/>
          <a:ext cx="5123809" cy="32222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3048000</xdr:colOff>
      <xdr:row>49</xdr:row>
      <xdr:rowOff>76200</xdr:rowOff>
    </xdr:from>
    <xdr:to>
      <xdr:col>3</xdr:col>
      <xdr:colOff>520700</xdr:colOff>
      <xdr:row>53</xdr:row>
      <xdr:rowOff>98097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00" y="9690100"/>
          <a:ext cx="1066800" cy="809297"/>
        </a:xfrm>
        <a:prstGeom prst="rect">
          <a:avLst/>
        </a:prstGeom>
      </xdr:spPr>
    </xdr:pic>
    <xdr:clientData/>
  </xdr:twoCellAnchor>
  <xdr:twoCellAnchor editAs="oneCell">
    <xdr:from>
      <xdr:col>2</xdr:col>
      <xdr:colOff>3022600</xdr:colOff>
      <xdr:row>53</xdr:row>
      <xdr:rowOff>127000</xdr:rowOff>
    </xdr:from>
    <xdr:to>
      <xdr:col>10</xdr:col>
      <xdr:colOff>389605</xdr:colOff>
      <xdr:row>55</xdr:row>
      <xdr:rowOff>63500</xdr:rowOff>
    </xdr:to>
    <xdr:pic>
      <xdr:nvPicPr>
        <xdr:cNvPr id="10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0600" y="10528300"/>
          <a:ext cx="4961605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3073400</xdr:colOff>
      <xdr:row>58</xdr:row>
      <xdr:rowOff>88900</xdr:rowOff>
    </xdr:from>
    <xdr:to>
      <xdr:col>6</xdr:col>
      <xdr:colOff>116096</xdr:colOff>
      <xdr:row>60</xdr:row>
      <xdr:rowOff>152400</xdr:rowOff>
    </xdr:to>
    <xdr:pic>
      <xdr:nvPicPr>
        <xdr:cNvPr id="12" name="8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1400" y="11658600"/>
          <a:ext cx="2579896" cy="622300"/>
        </a:xfrm>
        <a:prstGeom prst="rect">
          <a:avLst/>
        </a:prstGeom>
      </xdr:spPr>
    </xdr:pic>
    <xdr:clientData/>
  </xdr:twoCellAnchor>
  <xdr:twoCellAnchor editAs="oneCell">
    <xdr:from>
      <xdr:col>2</xdr:col>
      <xdr:colOff>3073400</xdr:colOff>
      <xdr:row>55</xdr:row>
      <xdr:rowOff>139701</xdr:rowOff>
    </xdr:from>
    <xdr:to>
      <xdr:col>4</xdr:col>
      <xdr:colOff>457200</xdr:colOff>
      <xdr:row>58</xdr:row>
      <xdr:rowOff>54265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51400" y="11023601"/>
          <a:ext cx="1981200" cy="60036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3175000</xdr:colOff>
      <xdr:row>61</xdr:row>
      <xdr:rowOff>0</xdr:rowOff>
    </xdr:from>
    <xdr:to>
      <xdr:col>4</xdr:col>
      <xdr:colOff>196260</xdr:colOff>
      <xdr:row>64</xdr:row>
      <xdr:rowOff>63500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3000" y="12319000"/>
          <a:ext cx="161866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3149600</xdr:colOff>
      <xdr:row>64</xdr:row>
      <xdr:rowOff>88900</xdr:rowOff>
    </xdr:from>
    <xdr:to>
      <xdr:col>5</xdr:col>
      <xdr:colOff>177800</xdr:colOff>
      <xdr:row>67</xdr:row>
      <xdr:rowOff>171052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27600" y="12992100"/>
          <a:ext cx="2095500" cy="6663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1</xdr:row>
          <xdr:rowOff>85725</xdr:rowOff>
        </xdr:from>
        <xdr:to>
          <xdr:col>2</xdr:col>
          <xdr:colOff>3228975</xdr:colOff>
          <xdr:row>2</xdr:row>
          <xdr:rowOff>190500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Fusion heat experimental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0</xdr:row>
          <xdr:rowOff>190500</xdr:rowOff>
        </xdr:from>
        <xdr:to>
          <xdr:col>2</xdr:col>
          <xdr:colOff>3343275</xdr:colOff>
          <xdr:row>6</xdr:row>
          <xdr:rowOff>28575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FUSION HEAT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3</xdr:row>
          <xdr:rowOff>47625</xdr:rowOff>
        </xdr:from>
        <xdr:to>
          <xdr:col>2</xdr:col>
          <xdr:colOff>3000375</xdr:colOff>
          <xdr:row>5</xdr:row>
          <xdr:rowOff>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Fusion heta estimated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O%20CIDEM/Casos%20de%20estudio/Artemisinin%20paper%20and%20data/Artemisin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VENTO%20CIDEM\Artemisini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O%20HSP%20EXCEL/HSP_Calculation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Van Krevelen"/>
      <sheetName val="Artemisinin"/>
      <sheetName val="HSP Sphere"/>
      <sheetName val="Resumen"/>
      <sheetName val="Hoja1"/>
    </sheetNames>
    <sheetDataSet>
      <sheetData sheetId="0"/>
      <sheetData sheetId="1"/>
      <sheetData sheetId="2"/>
      <sheetData sheetId="3">
        <row r="3">
          <cell r="B3">
            <v>14.906977199888987</v>
          </cell>
          <cell r="C3">
            <v>7.724454643541657</v>
          </cell>
          <cell r="D3">
            <v>10.053307993750256</v>
          </cell>
          <cell r="E3">
            <v>13.080100123730041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Artemisinin"/>
      <sheetName val="HSP Sphere"/>
      <sheetName val="Hoja1"/>
    </sheetNames>
    <sheetDataSet>
      <sheetData sheetId="0" refreshError="1"/>
      <sheetData sheetId="1" refreshError="1"/>
      <sheetData sheetId="2" refreshError="1">
        <row r="3">
          <cell r="B3">
            <v>14.906977199888987</v>
          </cell>
          <cell r="C3">
            <v>7.724454643541657</v>
          </cell>
          <cell r="D3">
            <v>10.053307993750256</v>
          </cell>
          <cell r="E3">
            <v>13.080100123730041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P Calcs"/>
      <sheetName val="HSP Sphere"/>
      <sheetName val="HSP Solvent Blends and Chi"/>
    </sheetNames>
    <sheetDataSet>
      <sheetData sheetId="0"/>
      <sheetData sheetId="1"/>
      <sheetData sheetId="2">
        <row r="22">
          <cell r="L22">
            <v>4</v>
          </cell>
        </row>
        <row r="23">
          <cell r="L23">
            <v>100</v>
          </cell>
        </row>
        <row r="24">
          <cell r="L24">
            <v>25</v>
          </cell>
        </row>
        <row r="26">
          <cell r="L26">
            <v>2474.645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tabSelected="1" workbookViewId="0">
      <selection activeCell="D22" sqref="D22"/>
    </sheetView>
  </sheetViews>
  <sheetFormatPr baseColWidth="10" defaultRowHeight="15" x14ac:dyDescent="0.25"/>
  <cols>
    <col min="2" max="2" width="35.28515625" bestFit="1" customWidth="1"/>
    <col min="3" max="3" width="34.28515625" bestFit="1" customWidth="1"/>
  </cols>
  <sheetData>
    <row r="2" spans="1:3" x14ac:dyDescent="0.25">
      <c r="B2" s="36" t="s">
        <v>239</v>
      </c>
      <c r="C2" s="160" t="s">
        <v>272</v>
      </c>
    </row>
    <row r="3" spans="1:3" x14ac:dyDescent="0.25">
      <c r="B3" s="36" t="s">
        <v>245</v>
      </c>
      <c r="C3" s="160" t="s">
        <v>273</v>
      </c>
    </row>
    <row r="4" spans="1:3" x14ac:dyDescent="0.25">
      <c r="B4" s="36" t="s">
        <v>240</v>
      </c>
      <c r="C4" s="160">
        <v>146.13999999999999</v>
      </c>
    </row>
    <row r="5" spans="1:3" x14ac:dyDescent="0.25">
      <c r="B5" s="36" t="s">
        <v>241</v>
      </c>
      <c r="C5" s="160">
        <v>16.04</v>
      </c>
    </row>
    <row r="6" spans="1:3" x14ac:dyDescent="0.25">
      <c r="B6" s="36" t="s">
        <v>242</v>
      </c>
      <c r="C6" s="160">
        <v>344</v>
      </c>
    </row>
    <row r="7" spans="1:3" x14ac:dyDescent="0.25">
      <c r="B7" s="36" t="s">
        <v>243</v>
      </c>
      <c r="C7" s="160">
        <v>0.93500000000000005</v>
      </c>
    </row>
    <row r="8" spans="1:3" x14ac:dyDescent="0.25">
      <c r="B8" s="36" t="s">
        <v>244</v>
      </c>
      <c r="C8" s="160">
        <v>8.3144720000000003</v>
      </c>
    </row>
    <row r="12" spans="1:3" x14ac:dyDescent="0.25">
      <c r="B12" s="117" t="s">
        <v>266</v>
      </c>
    </row>
    <row r="13" spans="1:3" x14ac:dyDescent="0.25">
      <c r="A13">
        <v>1</v>
      </c>
      <c r="B13" t="s">
        <v>285</v>
      </c>
    </row>
    <row r="14" spans="1:3" x14ac:dyDescent="0.25">
      <c r="A14">
        <v>2</v>
      </c>
      <c r="B14" t="s">
        <v>267</v>
      </c>
    </row>
    <row r="15" spans="1:3" x14ac:dyDescent="0.25">
      <c r="A15">
        <v>3</v>
      </c>
      <c r="B15" t="s">
        <v>268</v>
      </c>
    </row>
    <row r="16" spans="1:3" x14ac:dyDescent="0.25">
      <c r="A16">
        <v>4</v>
      </c>
      <c r="B16" t="s">
        <v>269</v>
      </c>
    </row>
    <row r="17" spans="1:2" x14ac:dyDescent="0.25">
      <c r="A17">
        <v>5</v>
      </c>
      <c r="B17" t="s">
        <v>270</v>
      </c>
    </row>
    <row r="18" spans="1:2" x14ac:dyDescent="0.25">
      <c r="A18">
        <v>6</v>
      </c>
      <c r="B18" t="s">
        <v>271</v>
      </c>
    </row>
    <row r="39" spans="3:3" x14ac:dyDescent="0.25">
      <c r="C39" t="s">
        <v>246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topLeftCell="A7" zoomScale="75" zoomScaleNormal="75" workbookViewId="0">
      <selection activeCell="C9" sqref="C9"/>
    </sheetView>
  </sheetViews>
  <sheetFormatPr baseColWidth="10" defaultColWidth="14.42578125" defaultRowHeight="15" customHeight="1" x14ac:dyDescent="0.2"/>
  <cols>
    <col min="1" max="1" width="4.7109375" style="37" customWidth="1"/>
    <col min="2" max="2" width="9.140625" style="37" customWidth="1"/>
    <col min="3" max="3" width="8.7109375" style="37" customWidth="1"/>
    <col min="4" max="4" width="3.85546875" style="37" customWidth="1"/>
    <col min="5" max="5" width="10.42578125" style="37" customWidth="1"/>
    <col min="6" max="6" width="10" style="37" customWidth="1"/>
    <col min="7" max="7" width="10.5703125" style="37" customWidth="1"/>
    <col min="8" max="8" width="8.7109375" style="37" customWidth="1"/>
    <col min="9" max="9" width="20.7109375" style="37" customWidth="1"/>
    <col min="10" max="10" width="11" style="37" customWidth="1"/>
    <col min="11" max="16" width="8.7109375" style="37" customWidth="1"/>
    <col min="17" max="17" width="10.7109375" style="37" bestFit="1" customWidth="1"/>
    <col min="18" max="24" width="8.7109375" style="37" customWidth="1"/>
    <col min="25" max="25" width="10.5703125" style="37" customWidth="1"/>
    <col min="26" max="26" width="8.7109375" style="37" customWidth="1"/>
    <col min="27" max="16384" width="14.42578125" style="37"/>
  </cols>
  <sheetData>
    <row r="1" spans="1:7" ht="9" customHeight="1" x14ac:dyDescent="0.25">
      <c r="A1" s="87"/>
    </row>
    <row r="2" spans="1:7" ht="18.75" customHeight="1" x14ac:dyDescent="0.25">
      <c r="A2" s="87"/>
      <c r="B2" s="142" t="s">
        <v>67</v>
      </c>
      <c r="C2" s="143"/>
      <c r="D2" s="143"/>
      <c r="E2" s="143"/>
      <c r="F2" s="143"/>
      <c r="G2" s="143"/>
    </row>
    <row r="3" spans="1:7" ht="7.5" customHeight="1" x14ac:dyDescent="0.25">
      <c r="A3" s="87"/>
    </row>
    <row r="4" spans="1:7" x14ac:dyDescent="0.25">
      <c r="A4" s="87"/>
      <c r="B4" s="88" t="str">
        <f>HYPERLINK("https://chesheets.com/","CheSheets.com")</f>
        <v>CheSheets.com</v>
      </c>
      <c r="F4" s="89" t="s">
        <v>68</v>
      </c>
      <c r="G4" s="90">
        <v>42850</v>
      </c>
    </row>
    <row r="5" spans="1:7" x14ac:dyDescent="0.25">
      <c r="A5" s="87"/>
      <c r="B5" s="91" t="s">
        <v>69</v>
      </c>
      <c r="F5" s="89" t="s">
        <v>70</v>
      </c>
      <c r="G5" s="92" t="s">
        <v>71</v>
      </c>
    </row>
    <row r="6" spans="1:7" ht="7.5" customHeight="1" x14ac:dyDescent="0.25">
      <c r="A6" s="87"/>
    </row>
    <row r="7" spans="1:7" x14ac:dyDescent="0.25">
      <c r="A7" s="87"/>
      <c r="B7" s="144" t="s">
        <v>72</v>
      </c>
      <c r="C7" s="141"/>
      <c r="E7" s="144" t="s">
        <v>73</v>
      </c>
      <c r="F7" s="141"/>
      <c r="G7" s="141"/>
    </row>
    <row r="8" spans="1:7" ht="18" customHeight="1" x14ac:dyDescent="0.25">
      <c r="A8" s="87"/>
      <c r="B8" s="93" t="s">
        <v>253</v>
      </c>
      <c r="C8" s="94"/>
      <c r="E8" s="95" t="s">
        <v>74</v>
      </c>
      <c r="G8" s="122"/>
    </row>
    <row r="9" spans="1:7" ht="18" customHeight="1" x14ac:dyDescent="0.25">
      <c r="A9" s="87"/>
      <c r="B9" s="93" t="s">
        <v>254</v>
      </c>
      <c r="C9" s="94"/>
      <c r="E9" s="95" t="s">
        <v>75</v>
      </c>
      <c r="G9" s="122"/>
    </row>
    <row r="10" spans="1:7" x14ac:dyDescent="0.25">
      <c r="A10" s="87"/>
      <c r="B10" s="93" t="s">
        <v>76</v>
      </c>
      <c r="C10" s="94"/>
      <c r="E10" s="95" t="s">
        <v>77</v>
      </c>
      <c r="G10" s="122"/>
    </row>
    <row r="11" spans="1:7" x14ac:dyDescent="0.25">
      <c r="A11" s="87"/>
      <c r="B11" s="93" t="s">
        <v>78</v>
      </c>
      <c r="C11" s="94"/>
      <c r="E11" s="95" t="s">
        <v>79</v>
      </c>
      <c r="G11" s="122">
        <v>1</v>
      </c>
    </row>
    <row r="12" spans="1:7" ht="18" customHeight="1" x14ac:dyDescent="0.25">
      <c r="A12" s="87"/>
      <c r="B12" s="96" t="s">
        <v>80</v>
      </c>
      <c r="C12" s="94"/>
      <c r="E12" s="95" t="s">
        <v>81</v>
      </c>
      <c r="G12" s="122"/>
    </row>
    <row r="13" spans="1:7" x14ac:dyDescent="0.25">
      <c r="A13" s="87"/>
      <c r="B13" s="93" t="s">
        <v>82</v>
      </c>
      <c r="C13" s="94"/>
      <c r="E13" s="95" t="s">
        <v>83</v>
      </c>
      <c r="G13" s="122">
        <v>1</v>
      </c>
    </row>
    <row r="14" spans="1:7" x14ac:dyDescent="0.25">
      <c r="A14" s="87"/>
      <c r="B14" s="93" t="s">
        <v>84</v>
      </c>
      <c r="C14" s="94"/>
      <c r="E14" s="95" t="s">
        <v>85</v>
      </c>
      <c r="G14" s="122"/>
    </row>
    <row r="15" spans="1:7" x14ac:dyDescent="0.25">
      <c r="A15" s="87"/>
      <c r="B15" s="93" t="s">
        <v>86</v>
      </c>
      <c r="C15" s="94"/>
      <c r="E15" s="95" t="s">
        <v>87</v>
      </c>
      <c r="G15" s="122"/>
    </row>
    <row r="16" spans="1:7" x14ac:dyDescent="0.25">
      <c r="A16" s="87"/>
      <c r="B16" s="93" t="s">
        <v>88</v>
      </c>
      <c r="C16" s="94"/>
      <c r="E16" s="95" t="s">
        <v>89</v>
      </c>
      <c r="G16" s="122"/>
    </row>
    <row r="17" spans="1:9" x14ac:dyDescent="0.25">
      <c r="A17" s="87"/>
      <c r="B17" s="93" t="s">
        <v>90</v>
      </c>
      <c r="C17" s="94"/>
      <c r="E17" s="95" t="s">
        <v>91</v>
      </c>
      <c r="G17" s="122"/>
    </row>
    <row r="18" spans="1:9" x14ac:dyDescent="0.25">
      <c r="A18" s="87"/>
      <c r="B18" s="144" t="s">
        <v>92</v>
      </c>
      <c r="C18" s="141"/>
      <c r="E18" s="144" t="s">
        <v>93</v>
      </c>
      <c r="F18" s="141"/>
      <c r="G18" s="141"/>
    </row>
    <row r="19" spans="1:9" ht="18" customHeight="1" x14ac:dyDescent="0.25">
      <c r="A19" s="87"/>
      <c r="B19" s="93" t="s">
        <v>254</v>
      </c>
      <c r="C19" s="122"/>
      <c r="E19" s="95" t="s">
        <v>94</v>
      </c>
      <c r="G19" s="94"/>
    </row>
    <row r="20" spans="1:9" x14ac:dyDescent="0.25">
      <c r="A20" s="87"/>
      <c r="B20" s="93" t="s">
        <v>76</v>
      </c>
      <c r="C20" s="122"/>
      <c r="E20" s="95" t="s">
        <v>95</v>
      </c>
      <c r="G20" s="94"/>
    </row>
    <row r="21" spans="1:9" x14ac:dyDescent="0.25">
      <c r="A21" s="87"/>
      <c r="B21" s="93" t="s">
        <v>78</v>
      </c>
      <c r="C21" s="122"/>
      <c r="E21" s="95" t="s">
        <v>96</v>
      </c>
      <c r="G21" s="94"/>
    </row>
    <row r="22" spans="1:9" ht="15.75" x14ac:dyDescent="0.25">
      <c r="A22" s="87"/>
      <c r="B22" s="93" t="s">
        <v>82</v>
      </c>
      <c r="C22" s="122">
        <v>6</v>
      </c>
      <c r="E22" s="95" t="s">
        <v>97</v>
      </c>
      <c r="G22" s="94"/>
      <c r="I22" s="9"/>
    </row>
    <row r="23" spans="1:9" x14ac:dyDescent="0.25">
      <c r="A23" s="87"/>
      <c r="B23" s="93" t="s">
        <v>84</v>
      </c>
      <c r="C23" s="122">
        <v>2</v>
      </c>
      <c r="E23" s="95" t="s">
        <v>98</v>
      </c>
      <c r="G23" s="94"/>
    </row>
    <row r="24" spans="1:9" x14ac:dyDescent="0.25">
      <c r="A24" s="87"/>
      <c r="B24" s="140" t="s">
        <v>99</v>
      </c>
      <c r="C24" s="141"/>
      <c r="E24" s="95" t="s">
        <v>100</v>
      </c>
      <c r="G24" s="94"/>
    </row>
    <row r="25" spans="1:9" x14ac:dyDescent="0.25">
      <c r="A25" s="87"/>
      <c r="B25" s="95" t="s">
        <v>101</v>
      </c>
      <c r="C25" s="94"/>
      <c r="E25" s="95" t="s">
        <v>102</v>
      </c>
      <c r="G25" s="94"/>
    </row>
    <row r="26" spans="1:9" x14ac:dyDescent="0.25">
      <c r="A26" s="87"/>
      <c r="B26" s="95" t="s">
        <v>103</v>
      </c>
      <c r="C26" s="94"/>
      <c r="E26" s="95" t="s">
        <v>104</v>
      </c>
      <c r="G26" s="94"/>
    </row>
    <row r="27" spans="1:9" x14ac:dyDescent="0.25">
      <c r="A27" s="87"/>
      <c r="B27" s="95" t="s">
        <v>105</v>
      </c>
      <c r="C27" s="94"/>
      <c r="E27" s="95" t="s">
        <v>106</v>
      </c>
      <c r="G27" s="94"/>
    </row>
    <row r="28" spans="1:9" x14ac:dyDescent="0.25">
      <c r="A28" s="87"/>
      <c r="B28" s="95" t="s">
        <v>107</v>
      </c>
      <c r="C28" s="94"/>
      <c r="E28" s="144" t="s">
        <v>108</v>
      </c>
      <c r="F28" s="141"/>
      <c r="G28" s="141"/>
    </row>
    <row r="29" spans="1:9" x14ac:dyDescent="0.25">
      <c r="A29" s="87"/>
      <c r="E29" s="95" t="s">
        <v>109</v>
      </c>
      <c r="G29" s="94"/>
    </row>
    <row r="30" spans="1:9" x14ac:dyDescent="0.25">
      <c r="A30" s="87"/>
      <c r="E30" s="95" t="s">
        <v>110</v>
      </c>
      <c r="G30" s="94"/>
    </row>
    <row r="31" spans="1:9" x14ac:dyDescent="0.25">
      <c r="A31" s="87"/>
      <c r="E31" s="95" t="s">
        <v>111</v>
      </c>
      <c r="G31" s="94"/>
    </row>
    <row r="32" spans="1:9" ht="8.25" customHeight="1" x14ac:dyDescent="0.25">
      <c r="A32" s="87"/>
    </row>
    <row r="33" spans="1:9" x14ac:dyDescent="0.25">
      <c r="A33" s="87"/>
      <c r="B33" s="145" t="s">
        <v>112</v>
      </c>
      <c r="C33" s="146"/>
      <c r="D33" s="146"/>
      <c r="E33" s="146"/>
      <c r="F33" s="146"/>
      <c r="G33" s="146"/>
    </row>
    <row r="34" spans="1:9" x14ac:dyDescent="0.25">
      <c r="A34" s="87"/>
      <c r="B34" s="37" t="s">
        <v>113</v>
      </c>
      <c r="F34" s="97" t="s">
        <v>114</v>
      </c>
      <c r="G34" s="98">
        <f>Y83</f>
        <v>146.14274</v>
      </c>
      <c r="I34" s="159">
        <f>'Data and Instruction'!C4</f>
        <v>146.13999999999999</v>
      </c>
    </row>
    <row r="35" spans="1:9" x14ac:dyDescent="0.25">
      <c r="A35" s="87"/>
      <c r="B35" s="37" t="s">
        <v>115</v>
      </c>
      <c r="F35" s="97" t="s">
        <v>116</v>
      </c>
      <c r="G35" s="98">
        <f>198+M83</f>
        <v>546.59</v>
      </c>
    </row>
    <row r="36" spans="1:9" x14ac:dyDescent="0.25">
      <c r="A36" s="87"/>
      <c r="B36" s="37" t="s">
        <v>117</v>
      </c>
      <c r="F36" s="97" t="s">
        <v>116</v>
      </c>
      <c r="G36" s="98">
        <f>G35/(0.584+0.965*J83-J83^2)</f>
        <v>848.74255232641701</v>
      </c>
    </row>
    <row r="37" spans="1:9" x14ac:dyDescent="0.25">
      <c r="A37" s="87"/>
      <c r="B37" s="37" t="s">
        <v>118</v>
      </c>
      <c r="F37" s="97" t="s">
        <v>119</v>
      </c>
      <c r="G37" s="98">
        <f>(0.113+0.0032*Z83-K83)^-2</f>
        <v>43.511253750670079</v>
      </c>
    </row>
    <row r="38" spans="1:9" x14ac:dyDescent="0.25">
      <c r="A38" s="87"/>
      <c r="B38" s="37" t="s">
        <v>120</v>
      </c>
      <c r="F38" s="97" t="s">
        <v>121</v>
      </c>
      <c r="G38" s="98">
        <f>17.5+L83</f>
        <v>395.5</v>
      </c>
    </row>
    <row r="39" spans="1:9" x14ac:dyDescent="0.25">
      <c r="A39" s="87"/>
      <c r="B39" s="37" t="s">
        <v>122</v>
      </c>
      <c r="G39" s="99">
        <f>G37*G38/(83.1447*G36)</f>
        <v>0.24385829792782612</v>
      </c>
    </row>
    <row r="40" spans="1:9" x14ac:dyDescent="0.25">
      <c r="A40" s="87"/>
      <c r="B40" s="37" t="s">
        <v>255</v>
      </c>
      <c r="G40" s="99">
        <f>J139</f>
        <v>0.25398022457558717</v>
      </c>
    </row>
    <row r="41" spans="1:9" x14ac:dyDescent="0.25">
      <c r="A41" s="87"/>
      <c r="B41" s="37" t="s">
        <v>123</v>
      </c>
      <c r="F41" s="97" t="s">
        <v>116</v>
      </c>
      <c r="G41" s="37">
        <f>122.5+N83</f>
        <v>344.34000000000003</v>
      </c>
    </row>
    <row r="42" spans="1:9" x14ac:dyDescent="0.25">
      <c r="A42" s="87"/>
      <c r="B42" s="37" t="s">
        <v>124</v>
      </c>
      <c r="F42" s="97" t="s">
        <v>125</v>
      </c>
      <c r="G42" s="37">
        <f>68.29+O83</f>
        <v>-128.96999999999997</v>
      </c>
    </row>
    <row r="43" spans="1:9" x14ac:dyDescent="0.25">
      <c r="A43" s="87"/>
      <c r="B43" s="37" t="s">
        <v>126</v>
      </c>
      <c r="F43" s="97" t="s">
        <v>125</v>
      </c>
      <c r="G43" s="37">
        <f>53.88+P83</f>
        <v>5.2900000000000134</v>
      </c>
    </row>
    <row r="44" spans="1:9" x14ac:dyDescent="0.25">
      <c r="A44" s="87"/>
      <c r="B44" s="37" t="s">
        <v>127</v>
      </c>
      <c r="F44" s="97" t="s">
        <v>125</v>
      </c>
      <c r="G44" s="98">
        <f>1.092*8.3144598*G35*(LN(G37)-1.013)/(0.93 - G35/G36)/1000</f>
        <v>47.892127337556552</v>
      </c>
    </row>
    <row r="45" spans="1:9" x14ac:dyDescent="0.25">
      <c r="A45" s="87"/>
      <c r="B45" s="37" t="s">
        <v>128</v>
      </c>
      <c r="F45" s="97" t="s">
        <v>125</v>
      </c>
      <c r="G45" s="98">
        <f>-0.88+U83</f>
        <v>16.393000000000001</v>
      </c>
    </row>
    <row r="46" spans="1:9" ht="6.75" customHeight="1" x14ac:dyDescent="0.25">
      <c r="A46" s="87"/>
      <c r="F46" s="97"/>
      <c r="G46" s="98"/>
    </row>
    <row r="47" spans="1:9" x14ac:dyDescent="0.25">
      <c r="A47" s="87"/>
      <c r="B47" s="100" t="s">
        <v>129</v>
      </c>
      <c r="C47" s="100"/>
      <c r="D47" s="100"/>
      <c r="E47" s="100"/>
      <c r="F47" s="101" t="s">
        <v>116</v>
      </c>
      <c r="G47" s="102">
        <v>298.14999999999998</v>
      </c>
    </row>
    <row r="48" spans="1:9" x14ac:dyDescent="0.25">
      <c r="A48" s="87"/>
      <c r="B48" s="37" t="s">
        <v>130</v>
      </c>
      <c r="F48" s="97"/>
      <c r="G48" s="103">
        <f>G47/G36</f>
        <v>0.35128437849942368</v>
      </c>
    </row>
    <row r="49" spans="1:7" x14ac:dyDescent="0.25">
      <c r="A49" s="87"/>
      <c r="B49" s="37" t="s">
        <v>131</v>
      </c>
      <c r="F49" s="97" t="s">
        <v>132</v>
      </c>
      <c r="G49" s="98">
        <f>J142+J143*G47+J144*G47^2+J145*G47^3</f>
        <v>139.86885838399752</v>
      </c>
    </row>
    <row r="50" spans="1:7" x14ac:dyDescent="0.25">
      <c r="A50" s="87"/>
      <c r="B50" s="37" t="s">
        <v>133</v>
      </c>
      <c r="F50" s="97" t="s">
        <v>125</v>
      </c>
      <c r="G50" s="98">
        <f>G44*( ((G36-G47)/(G36-G35))^0.38)</f>
        <v>60.158039345270453</v>
      </c>
    </row>
    <row r="51" spans="1:7" x14ac:dyDescent="0.25">
      <c r="A51" s="87"/>
      <c r="B51" s="37" t="s">
        <v>134</v>
      </c>
      <c r="F51" s="97" t="s">
        <v>135</v>
      </c>
      <c r="G51" s="104">
        <f>G34*EXP(J148/G47+J149)</f>
        <v>1.4882536577625291E-3</v>
      </c>
    </row>
    <row r="52" spans="1:7" x14ac:dyDescent="0.25">
      <c r="A52" s="87"/>
      <c r="B52" s="37" t="s">
        <v>136</v>
      </c>
      <c r="F52" s="97" t="s">
        <v>137</v>
      </c>
      <c r="G52" s="103">
        <f>G34/( (83.1447*G36/G37)*(G39^(1 + ((1-G47/G36)^(2/7)))  ) )</f>
        <v>1.2859166303170275</v>
      </c>
    </row>
    <row r="53" spans="1:7" x14ac:dyDescent="0.25">
      <c r="A53" s="87"/>
      <c r="B53" s="37" t="s">
        <v>138</v>
      </c>
      <c r="F53" s="97" t="s">
        <v>119</v>
      </c>
      <c r="G53" s="103">
        <f>G37*EXP( (5.92714-6.09648/G48-1.28862*LN(G48)+0.169347*(G48^6) )+G40*(15.2518-15.6875/G48-13.4721*LN(G48)+0.43577*(G48^6)) )</f>
        <v>3.7359160845964348E-5</v>
      </c>
    </row>
    <row r="54" spans="1:7" x14ac:dyDescent="0.25">
      <c r="A54" s="87"/>
    </row>
    <row r="55" spans="1:7" x14ac:dyDescent="0.25">
      <c r="A55" s="87"/>
    </row>
    <row r="56" spans="1:7" x14ac:dyDescent="0.25">
      <c r="A56" s="87"/>
    </row>
    <row r="57" spans="1:7" x14ac:dyDescent="0.25">
      <c r="A57" s="87"/>
    </row>
    <row r="58" spans="1:7" x14ac:dyDescent="0.25">
      <c r="A58" s="87"/>
    </row>
    <row r="59" spans="1:7" x14ac:dyDescent="0.25">
      <c r="A59" s="87"/>
    </row>
    <row r="60" spans="1:7" x14ac:dyDescent="0.25">
      <c r="A60" s="87"/>
    </row>
    <row r="61" spans="1:7" x14ac:dyDescent="0.25">
      <c r="A61" s="87"/>
    </row>
    <row r="62" spans="1:7" x14ac:dyDescent="0.25">
      <c r="A62" s="87"/>
    </row>
    <row r="63" spans="1:7" x14ac:dyDescent="0.25">
      <c r="A63" s="87"/>
    </row>
    <row r="64" spans="1:7" x14ac:dyDescent="0.25">
      <c r="A64" s="87"/>
    </row>
    <row r="65" spans="1:1" x14ac:dyDescent="0.25">
      <c r="A65" s="87"/>
    </row>
    <row r="66" spans="1:1" x14ac:dyDescent="0.25">
      <c r="A66" s="87"/>
    </row>
    <row r="67" spans="1:1" x14ac:dyDescent="0.25">
      <c r="A67" s="87"/>
    </row>
    <row r="68" spans="1:1" x14ac:dyDescent="0.25">
      <c r="A68" s="87"/>
    </row>
    <row r="69" spans="1:1" x14ac:dyDescent="0.25">
      <c r="A69" s="87"/>
    </row>
    <row r="70" spans="1:1" x14ac:dyDescent="0.25">
      <c r="A70" s="87"/>
    </row>
    <row r="71" spans="1:1" x14ac:dyDescent="0.25">
      <c r="A71" s="87"/>
    </row>
    <row r="72" spans="1:1" x14ac:dyDescent="0.25">
      <c r="A72" s="87"/>
    </row>
    <row r="73" spans="1:1" x14ac:dyDescent="0.25">
      <c r="A73" s="87"/>
    </row>
    <row r="74" spans="1:1" x14ac:dyDescent="0.25">
      <c r="A74" s="87"/>
    </row>
    <row r="75" spans="1:1" x14ac:dyDescent="0.25">
      <c r="A75" s="87"/>
    </row>
    <row r="76" spans="1:1" x14ac:dyDescent="0.25">
      <c r="A76" s="87"/>
    </row>
    <row r="77" spans="1:1" x14ac:dyDescent="0.25">
      <c r="A77" s="87"/>
    </row>
    <row r="78" spans="1:1" x14ac:dyDescent="0.25">
      <c r="A78" s="87"/>
    </row>
    <row r="79" spans="1:1" x14ac:dyDescent="0.25">
      <c r="A79" s="87"/>
    </row>
    <row r="80" spans="1:1" x14ac:dyDescent="0.25">
      <c r="A80" s="87"/>
    </row>
    <row r="81" spans="1:26" x14ac:dyDescent="0.25">
      <c r="A81" s="87"/>
    </row>
    <row r="82" spans="1:26" x14ac:dyDescent="0.25">
      <c r="A82" s="87"/>
    </row>
    <row r="83" spans="1:26" x14ac:dyDescent="0.25">
      <c r="A83" s="87"/>
      <c r="H83" s="105"/>
      <c r="I83" s="105"/>
      <c r="J83" s="105">
        <f t="shared" ref="J83:Z83" si="0">SUMPRODUCT($H$88:$H$133,J88:J133)</f>
        <v>6.6799999999999998E-2</v>
      </c>
      <c r="K83" s="105">
        <f t="shared" si="0"/>
        <v>1.5800000000000002E-2</v>
      </c>
      <c r="L83" s="105">
        <f t="shared" si="0"/>
        <v>378</v>
      </c>
      <c r="M83" s="105">
        <f t="shared" si="0"/>
        <v>348.59000000000003</v>
      </c>
      <c r="N83" s="105">
        <f t="shared" si="0"/>
        <v>221.84</v>
      </c>
      <c r="O83" s="105">
        <f t="shared" si="0"/>
        <v>-197.26</v>
      </c>
      <c r="P83" s="105">
        <f t="shared" si="0"/>
        <v>-48.589999999999989</v>
      </c>
      <c r="Q83" s="105">
        <f t="shared" si="0"/>
        <v>13.259999999999998</v>
      </c>
      <c r="R83" s="105">
        <f t="shared" si="0"/>
        <v>0.45090000000000008</v>
      </c>
      <c r="S83" s="105">
        <f t="shared" si="0"/>
        <v>2.4599999999999731E-6</v>
      </c>
      <c r="T83" s="105">
        <f t="shared" si="0"/>
        <v>-1.2939999999999998E-7</v>
      </c>
      <c r="U83" s="105">
        <f t="shared" si="0"/>
        <v>17.273</v>
      </c>
      <c r="V83" s="105">
        <f t="shared" si="0"/>
        <v>32.709000000000003</v>
      </c>
      <c r="W83" s="105">
        <f t="shared" si="0"/>
        <v>1506.6599999999999</v>
      </c>
      <c r="X83" s="105">
        <f t="shared" si="0"/>
        <v>-3.3409999999999997</v>
      </c>
      <c r="Y83" s="105">
        <f>SUMPRODUCT($H$88:$H$133,Y88:Y133)</f>
        <v>146.14274</v>
      </c>
      <c r="Z83" s="105">
        <f t="shared" si="0"/>
        <v>17</v>
      </c>
    </row>
    <row r="84" spans="1:26" ht="18" customHeight="1" x14ac:dyDescent="0.25">
      <c r="A84" s="87"/>
      <c r="H84" s="105"/>
      <c r="I84" s="106" t="s">
        <v>139</v>
      </c>
      <c r="J84" s="107" t="s">
        <v>256</v>
      </c>
      <c r="K84" s="107" t="s">
        <v>257</v>
      </c>
      <c r="L84" s="107" t="s">
        <v>258</v>
      </c>
      <c r="M84" s="107" t="s">
        <v>259</v>
      </c>
      <c r="N84" s="107" t="s">
        <v>260</v>
      </c>
      <c r="O84" s="107" t="s">
        <v>261</v>
      </c>
      <c r="P84" s="107" t="s">
        <v>262</v>
      </c>
      <c r="Q84" s="107" t="s">
        <v>140</v>
      </c>
      <c r="R84" s="107" t="s">
        <v>141</v>
      </c>
      <c r="S84" s="107" t="s">
        <v>142</v>
      </c>
      <c r="T84" s="107" t="s">
        <v>143</v>
      </c>
      <c r="U84" s="107" t="s">
        <v>263</v>
      </c>
      <c r="V84" s="107" t="s">
        <v>264</v>
      </c>
      <c r="W84" s="107" t="s">
        <v>140</v>
      </c>
      <c r="X84" s="107" t="s">
        <v>141</v>
      </c>
      <c r="Y84" s="107" t="s">
        <v>144</v>
      </c>
      <c r="Z84" s="107" t="s">
        <v>145</v>
      </c>
    </row>
    <row r="85" spans="1:26" x14ac:dyDescent="0.25">
      <c r="A85" s="87"/>
      <c r="H85" s="105"/>
      <c r="I85" s="147"/>
      <c r="J85" s="149" t="s">
        <v>146</v>
      </c>
      <c r="K85" s="150"/>
      <c r="L85" s="151"/>
      <c r="M85" s="154" t="s">
        <v>147</v>
      </c>
      <c r="N85" s="155"/>
      <c r="O85" s="154" t="s">
        <v>148</v>
      </c>
      <c r="P85" s="155"/>
      <c r="Q85" s="149" t="s">
        <v>149</v>
      </c>
      <c r="R85" s="150"/>
      <c r="S85" s="150"/>
      <c r="T85" s="151"/>
      <c r="U85" s="154" t="s">
        <v>150</v>
      </c>
      <c r="V85" s="155"/>
      <c r="W85" s="149" t="s">
        <v>151</v>
      </c>
      <c r="X85" s="151"/>
      <c r="Y85" s="107" t="s">
        <v>152</v>
      </c>
      <c r="Z85" s="107" t="s">
        <v>153</v>
      </c>
    </row>
    <row r="86" spans="1:26" x14ac:dyDescent="0.25">
      <c r="A86" s="87"/>
      <c r="H86" s="105"/>
      <c r="I86" s="148"/>
      <c r="J86" s="152"/>
      <c r="K86" s="141"/>
      <c r="L86" s="153"/>
      <c r="M86" s="154" t="s">
        <v>154</v>
      </c>
      <c r="N86" s="155"/>
      <c r="O86" s="154" t="s">
        <v>155</v>
      </c>
      <c r="P86" s="155"/>
      <c r="Q86" s="152"/>
      <c r="R86" s="141"/>
      <c r="S86" s="141"/>
      <c r="T86" s="153"/>
      <c r="U86" s="154" t="s">
        <v>154</v>
      </c>
      <c r="V86" s="155"/>
      <c r="W86" s="152"/>
      <c r="X86" s="153"/>
      <c r="Y86" s="105"/>
      <c r="Z86" s="105"/>
    </row>
    <row r="87" spans="1:26" x14ac:dyDescent="0.25">
      <c r="A87" s="87"/>
      <c r="H87" s="105"/>
      <c r="I87" s="108" t="s">
        <v>72</v>
      </c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8" customHeight="1" x14ac:dyDescent="0.25">
      <c r="A88" s="87"/>
      <c r="H88" s="105">
        <f t="shared" ref="H88:H97" si="1">C8</f>
        <v>0</v>
      </c>
      <c r="I88" s="109" t="s">
        <v>253</v>
      </c>
      <c r="J88" s="110">
        <v>1.41E-2</v>
      </c>
      <c r="K88" s="110">
        <v>-1.1999999999999999E-3</v>
      </c>
      <c r="L88" s="110">
        <v>65</v>
      </c>
      <c r="M88" s="110">
        <v>23.58</v>
      </c>
      <c r="N88" s="110">
        <v>-5.0999999999999996</v>
      </c>
      <c r="O88" s="110">
        <v>-76.45</v>
      </c>
      <c r="P88" s="110">
        <v>-43.96</v>
      </c>
      <c r="Q88" s="111">
        <v>19.5</v>
      </c>
      <c r="R88" s="111">
        <v>-8.0800000000000004E-3</v>
      </c>
      <c r="S88" s="111">
        <v>1.5300000000000001E-4</v>
      </c>
      <c r="T88" s="111">
        <v>-9.6699999999999999E-8</v>
      </c>
      <c r="U88" s="110">
        <v>0.90800000000000003</v>
      </c>
      <c r="V88" s="110">
        <v>2.3730000000000002</v>
      </c>
      <c r="W88" s="110">
        <v>548.29</v>
      </c>
      <c r="X88" s="110">
        <v>-1.7190000000000001</v>
      </c>
      <c r="Y88" s="112">
        <v>15.034520000000001</v>
      </c>
      <c r="Z88" s="105">
        <v>4</v>
      </c>
    </row>
    <row r="89" spans="1:26" ht="18" customHeight="1" x14ac:dyDescent="0.25">
      <c r="A89" s="87"/>
      <c r="H89" s="105">
        <f t="shared" si="1"/>
        <v>0</v>
      </c>
      <c r="I89" s="109" t="s">
        <v>254</v>
      </c>
      <c r="J89" s="110">
        <v>1.89E-2</v>
      </c>
      <c r="K89" s="110">
        <v>0</v>
      </c>
      <c r="L89" s="110">
        <v>56</v>
      </c>
      <c r="M89" s="110">
        <v>22.88</v>
      </c>
      <c r="N89" s="110">
        <v>11.27</v>
      </c>
      <c r="O89" s="110">
        <v>-20.64</v>
      </c>
      <c r="P89" s="110">
        <v>8.42</v>
      </c>
      <c r="Q89" s="111">
        <v>-0.90900000000000003</v>
      </c>
      <c r="R89" s="111">
        <v>9.5000000000000001E-2</v>
      </c>
      <c r="S89" s="111">
        <v>-5.4400000000000001E-5</v>
      </c>
      <c r="T89" s="111">
        <v>1.1900000000000001E-8</v>
      </c>
      <c r="U89" s="110">
        <v>2.59</v>
      </c>
      <c r="V89" s="110">
        <v>2.226</v>
      </c>
      <c r="W89" s="110">
        <v>94.16</v>
      </c>
      <c r="X89" s="110">
        <v>-0.19900000000000001</v>
      </c>
      <c r="Y89" s="105">
        <v>14.026579999999999</v>
      </c>
      <c r="Z89" s="105">
        <v>3</v>
      </c>
    </row>
    <row r="90" spans="1:26" x14ac:dyDescent="0.25">
      <c r="A90" s="87"/>
      <c r="H90" s="105">
        <f t="shared" si="1"/>
        <v>0</v>
      </c>
      <c r="I90" s="109" t="s">
        <v>76</v>
      </c>
      <c r="J90" s="110">
        <v>1.6400000000000001E-2</v>
      </c>
      <c r="K90" s="110">
        <v>2E-3</v>
      </c>
      <c r="L90" s="110">
        <v>41</v>
      </c>
      <c r="M90" s="110">
        <v>21.74</v>
      </c>
      <c r="N90" s="110">
        <v>12.64</v>
      </c>
      <c r="O90" s="110">
        <v>29.89</v>
      </c>
      <c r="P90" s="110">
        <v>58.36</v>
      </c>
      <c r="Q90" s="111">
        <v>-23</v>
      </c>
      <c r="R90" s="111">
        <v>0.20399999999999999</v>
      </c>
      <c r="S90" s="111">
        <v>-2.6499999999999999E-4</v>
      </c>
      <c r="T90" s="111">
        <v>1.1999999999999999E-7</v>
      </c>
      <c r="U90" s="110">
        <v>0.749</v>
      </c>
      <c r="V90" s="110">
        <v>1.6910000000000001</v>
      </c>
      <c r="W90" s="110">
        <v>-322.14999999999998</v>
      </c>
      <c r="X90" s="110">
        <v>1.1870000000000001</v>
      </c>
      <c r="Y90" s="105">
        <v>13.01864</v>
      </c>
      <c r="Z90" s="105">
        <v>2</v>
      </c>
    </row>
    <row r="91" spans="1:26" x14ac:dyDescent="0.25">
      <c r="A91" s="87"/>
      <c r="H91" s="105">
        <f t="shared" si="1"/>
        <v>0</v>
      </c>
      <c r="I91" s="109" t="s">
        <v>78</v>
      </c>
      <c r="J91" s="110">
        <v>6.7000000000000002E-3</v>
      </c>
      <c r="K91" s="110">
        <v>4.3E-3</v>
      </c>
      <c r="L91" s="110">
        <v>27</v>
      </c>
      <c r="M91" s="110">
        <v>18.25</v>
      </c>
      <c r="N91" s="110">
        <v>46.43</v>
      </c>
      <c r="O91" s="110">
        <v>82.23</v>
      </c>
      <c r="P91" s="110">
        <v>116.02</v>
      </c>
      <c r="Q91" s="111">
        <v>-66.2</v>
      </c>
      <c r="R91" s="111">
        <v>0.42699999999999999</v>
      </c>
      <c r="S91" s="111">
        <v>-6.4099999999999997E-4</v>
      </c>
      <c r="T91" s="111">
        <v>3.0100000000000001E-7</v>
      </c>
      <c r="U91" s="110">
        <v>-1.46</v>
      </c>
      <c r="V91" s="110">
        <v>0.63600000000000001</v>
      </c>
      <c r="W91" s="110">
        <v>-573.55999999999995</v>
      </c>
      <c r="X91" s="110">
        <v>2.3069999999999999</v>
      </c>
      <c r="Y91" s="105">
        <v>12.0107</v>
      </c>
      <c r="Z91" s="105">
        <v>1</v>
      </c>
    </row>
    <row r="92" spans="1:26" ht="18" customHeight="1" x14ac:dyDescent="0.25">
      <c r="A92" s="87"/>
      <c r="H92" s="105">
        <f t="shared" si="1"/>
        <v>0</v>
      </c>
      <c r="I92" s="109" t="s">
        <v>265</v>
      </c>
      <c r="J92" s="110">
        <v>1.1299999999999999E-2</v>
      </c>
      <c r="K92" s="110">
        <v>-2.8E-3</v>
      </c>
      <c r="L92" s="110">
        <v>56</v>
      </c>
      <c r="M92" s="110">
        <v>18.18</v>
      </c>
      <c r="N92" s="110">
        <v>-4.32</v>
      </c>
      <c r="O92" s="110">
        <v>-9.6300000000000008</v>
      </c>
      <c r="P92" s="110">
        <v>3.77</v>
      </c>
      <c r="Q92" s="111">
        <v>23.6</v>
      </c>
      <c r="R92" s="111">
        <v>-3.8100000000000002E-2</v>
      </c>
      <c r="S92" s="111">
        <v>1.7200000000000001E-4</v>
      </c>
      <c r="T92" s="111">
        <v>-1.03E-7</v>
      </c>
      <c r="U92" s="110">
        <v>-0.47299999999999998</v>
      </c>
      <c r="V92" s="110">
        <v>1.724</v>
      </c>
      <c r="W92" s="110">
        <v>495.01</v>
      </c>
      <c r="X92" s="110">
        <v>-1.5389999999999999</v>
      </c>
      <c r="Y92" s="105">
        <v>14.026579999999999</v>
      </c>
      <c r="Z92" s="105">
        <v>3</v>
      </c>
    </row>
    <row r="93" spans="1:26" x14ac:dyDescent="0.25">
      <c r="A93" s="87"/>
      <c r="H93" s="105">
        <f t="shared" si="1"/>
        <v>0</v>
      </c>
      <c r="I93" s="109" t="s">
        <v>82</v>
      </c>
      <c r="J93" s="110" t="s">
        <v>156</v>
      </c>
      <c r="K93" s="110">
        <v>-5.9999999999999995E-4</v>
      </c>
      <c r="L93" s="110">
        <v>46</v>
      </c>
      <c r="M93" s="110">
        <v>24.96</v>
      </c>
      <c r="N93" s="110">
        <v>8.73</v>
      </c>
      <c r="O93" s="110">
        <v>37.97</v>
      </c>
      <c r="P93" s="110">
        <v>48.53</v>
      </c>
      <c r="Q93" s="110">
        <v>-8</v>
      </c>
      <c r="R93" s="111">
        <v>0.105</v>
      </c>
      <c r="S93" s="111">
        <v>-9.6299999999999996E-5</v>
      </c>
      <c r="T93" s="111">
        <v>3.5600000000000001E-8</v>
      </c>
      <c r="U93" s="110">
        <v>2.6909999999999998</v>
      </c>
      <c r="V93" s="110">
        <v>2.2050000000000001</v>
      </c>
      <c r="W93" s="110">
        <v>82.28</v>
      </c>
      <c r="X93" s="110">
        <v>-0.24199999999999999</v>
      </c>
      <c r="Y93" s="105">
        <v>13.01864</v>
      </c>
      <c r="Z93" s="105">
        <v>2</v>
      </c>
    </row>
    <row r="94" spans="1:26" x14ac:dyDescent="0.25">
      <c r="A94" s="87"/>
      <c r="H94" s="105">
        <f t="shared" si="1"/>
        <v>0</v>
      </c>
      <c r="I94" s="109" t="s">
        <v>84</v>
      </c>
      <c r="J94" s="110">
        <v>1.17E-2</v>
      </c>
      <c r="K94" s="110">
        <v>1.1000000000000001E-3</v>
      </c>
      <c r="L94" s="110">
        <v>38</v>
      </c>
      <c r="M94" s="110">
        <v>24.14</v>
      </c>
      <c r="N94" s="110">
        <v>11.14</v>
      </c>
      <c r="O94" s="110">
        <v>83.99</v>
      </c>
      <c r="P94" s="110">
        <v>92.36</v>
      </c>
      <c r="Q94" s="111">
        <v>-28.1</v>
      </c>
      <c r="R94" s="111">
        <v>0.20799999999999999</v>
      </c>
      <c r="S94" s="111">
        <v>-3.0600000000000001E-4</v>
      </c>
      <c r="T94" s="111">
        <v>1.4600000000000001E-7</v>
      </c>
      <c r="U94" s="110">
        <v>3.0630000000000002</v>
      </c>
      <c r="V94" s="110">
        <v>2.1379999999999999</v>
      </c>
      <c r="W94" s="110" t="s">
        <v>157</v>
      </c>
      <c r="X94" s="110" t="s">
        <v>157</v>
      </c>
      <c r="Y94" s="105">
        <v>12.0107</v>
      </c>
      <c r="Z94" s="105">
        <v>1</v>
      </c>
    </row>
    <row r="95" spans="1:26" x14ac:dyDescent="0.25">
      <c r="A95" s="87"/>
      <c r="H95" s="105">
        <f t="shared" si="1"/>
        <v>0</v>
      </c>
      <c r="I95" s="109" t="s">
        <v>86</v>
      </c>
      <c r="J95" s="110">
        <v>2.5999999999999999E-3</v>
      </c>
      <c r="K95" s="110">
        <v>2.8E-3</v>
      </c>
      <c r="L95" s="110">
        <v>36</v>
      </c>
      <c r="M95" s="110">
        <v>26.15</v>
      </c>
      <c r="N95" s="110">
        <v>17.78</v>
      </c>
      <c r="O95" s="110">
        <v>142.13999999999999</v>
      </c>
      <c r="P95" s="110">
        <v>136.69999999999999</v>
      </c>
      <c r="Q95" s="111">
        <v>27.4</v>
      </c>
      <c r="R95" s="111">
        <v>-5.57E-2</v>
      </c>
      <c r="S95" s="111">
        <v>1.01E-4</v>
      </c>
      <c r="T95" s="111">
        <v>-5.02E-8</v>
      </c>
      <c r="U95" s="110">
        <v>4.72</v>
      </c>
      <c r="V95" s="110">
        <v>2.661</v>
      </c>
      <c r="W95" s="110" t="s">
        <v>157</v>
      </c>
      <c r="X95" s="110" t="s">
        <v>157</v>
      </c>
      <c r="Y95" s="105">
        <v>12.0107</v>
      </c>
      <c r="Z95" s="105">
        <v>1</v>
      </c>
    </row>
    <row r="96" spans="1:26" x14ac:dyDescent="0.25">
      <c r="A96" s="87"/>
      <c r="H96" s="105">
        <f t="shared" si="1"/>
        <v>0</v>
      </c>
      <c r="I96" s="109" t="s">
        <v>88</v>
      </c>
      <c r="J96" s="110">
        <v>2.7000000000000001E-3</v>
      </c>
      <c r="K96" s="110">
        <v>-8.0000000000000004E-4</v>
      </c>
      <c r="L96" s="110">
        <v>46</v>
      </c>
      <c r="M96" s="110">
        <v>9.1999999999999993</v>
      </c>
      <c r="N96" s="110">
        <v>-11.18</v>
      </c>
      <c r="O96" s="110">
        <v>79.3</v>
      </c>
      <c r="P96" s="110">
        <v>77.709999999999994</v>
      </c>
      <c r="Q96" s="111">
        <v>24.5</v>
      </c>
      <c r="R96" s="111">
        <v>-2.7099999999999999E-2</v>
      </c>
      <c r="S96" s="111">
        <v>1.11E-4</v>
      </c>
      <c r="T96" s="111">
        <v>-6.7799999999999998E-8</v>
      </c>
      <c r="U96" s="110">
        <v>2.3220000000000001</v>
      </c>
      <c r="V96" s="110">
        <v>1.155</v>
      </c>
      <c r="W96" s="110" t="s">
        <v>157</v>
      </c>
      <c r="X96" s="110" t="s">
        <v>157</v>
      </c>
      <c r="Y96" s="105">
        <v>13.01864</v>
      </c>
      <c r="Z96" s="105">
        <v>2</v>
      </c>
    </row>
    <row r="97" spans="1:26" x14ac:dyDescent="0.25">
      <c r="A97" s="87"/>
      <c r="H97" s="105">
        <f t="shared" si="1"/>
        <v>0</v>
      </c>
      <c r="I97" s="109" t="s">
        <v>90</v>
      </c>
      <c r="J97" s="110">
        <v>2E-3</v>
      </c>
      <c r="K97" s="110">
        <v>1.6000000000000001E-3</v>
      </c>
      <c r="L97" s="110">
        <v>37</v>
      </c>
      <c r="M97" s="110">
        <v>27.38</v>
      </c>
      <c r="N97" s="110">
        <v>64.319999999999993</v>
      </c>
      <c r="O97" s="110">
        <v>115.51</v>
      </c>
      <c r="P97" s="110">
        <v>109.82</v>
      </c>
      <c r="Q97" s="110">
        <v>7.87</v>
      </c>
      <c r="R97" s="111">
        <v>2.01E-2</v>
      </c>
      <c r="S97" s="111">
        <v>-8.3299999999999999E-6</v>
      </c>
      <c r="T97" s="111">
        <v>1.39E-9</v>
      </c>
      <c r="U97" s="110">
        <v>4.1509999999999998</v>
      </c>
      <c r="V97" s="110">
        <v>3.302</v>
      </c>
      <c r="W97" s="110" t="s">
        <v>157</v>
      </c>
      <c r="X97" s="110" t="s">
        <v>157</v>
      </c>
      <c r="Y97" s="105">
        <v>12.0107</v>
      </c>
      <c r="Z97" s="105">
        <v>1</v>
      </c>
    </row>
    <row r="98" spans="1:26" x14ac:dyDescent="0.25">
      <c r="A98" s="87"/>
      <c r="H98" s="105"/>
      <c r="I98" s="108" t="s">
        <v>92</v>
      </c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8" customHeight="1" x14ac:dyDescent="0.25">
      <c r="A99" s="87"/>
      <c r="H99" s="105">
        <f t="shared" ref="H99:H103" si="2">C19</f>
        <v>0</v>
      </c>
      <c r="I99" s="109" t="s">
        <v>254</v>
      </c>
      <c r="J99" s="110">
        <v>0.01</v>
      </c>
      <c r="K99" s="110">
        <v>2.5000000000000001E-3</v>
      </c>
      <c r="L99" s="110">
        <v>48</v>
      </c>
      <c r="M99" s="110">
        <v>27.15</v>
      </c>
      <c r="N99" s="110">
        <v>7.75</v>
      </c>
      <c r="O99" s="110">
        <v>-26.8</v>
      </c>
      <c r="P99" s="110">
        <v>-3.68</v>
      </c>
      <c r="Q99" s="110">
        <v>-6.03</v>
      </c>
      <c r="R99" s="111">
        <v>8.5400000000000004E-2</v>
      </c>
      <c r="S99" s="111">
        <v>-7.9999999999999996E-6</v>
      </c>
      <c r="T99" s="111">
        <v>-1.7999999999999999E-8</v>
      </c>
      <c r="U99" s="110">
        <v>0.49</v>
      </c>
      <c r="V99" s="110">
        <v>2.3980000000000001</v>
      </c>
      <c r="W99" s="110">
        <v>307.52999999999997</v>
      </c>
      <c r="X99" s="110">
        <v>-0.79800000000000004</v>
      </c>
      <c r="Y99" s="105">
        <v>14.026579999999999</v>
      </c>
      <c r="Z99" s="105">
        <v>3</v>
      </c>
    </row>
    <row r="100" spans="1:26" x14ac:dyDescent="0.25">
      <c r="A100" s="87"/>
      <c r="H100" s="105">
        <f t="shared" si="2"/>
        <v>0</v>
      </c>
      <c r="I100" s="109" t="s">
        <v>76</v>
      </c>
      <c r="J100" s="110">
        <v>1.2200000000000001E-2</v>
      </c>
      <c r="K100" s="110">
        <v>4.0000000000000002E-4</v>
      </c>
      <c r="L100" s="110">
        <v>38</v>
      </c>
      <c r="M100" s="110">
        <v>21.78</v>
      </c>
      <c r="N100" s="110">
        <v>19.88</v>
      </c>
      <c r="O100" s="110">
        <v>8.67</v>
      </c>
      <c r="P100" s="110">
        <v>40.99</v>
      </c>
      <c r="Q100" s="111">
        <v>-20.5</v>
      </c>
      <c r="R100" s="111">
        <v>0.16200000000000001</v>
      </c>
      <c r="S100" s="111">
        <v>-1.6000000000000001E-4</v>
      </c>
      <c r="T100" s="111">
        <v>6.2400000000000003E-8</v>
      </c>
      <c r="U100" s="110">
        <v>3.2429999999999999</v>
      </c>
      <c r="V100" s="110">
        <v>1.9419999999999999</v>
      </c>
      <c r="W100" s="110">
        <v>-394.29</v>
      </c>
      <c r="X100" s="110">
        <v>1.2509999999999999</v>
      </c>
      <c r="Y100" s="105">
        <v>13.01864</v>
      </c>
      <c r="Z100" s="105">
        <v>2</v>
      </c>
    </row>
    <row r="101" spans="1:26" x14ac:dyDescent="0.25">
      <c r="A101" s="87"/>
      <c r="H101" s="105">
        <f t="shared" si="2"/>
        <v>0</v>
      </c>
      <c r="I101" s="109" t="s">
        <v>78</v>
      </c>
      <c r="J101" s="110">
        <v>4.1999999999999997E-3</v>
      </c>
      <c r="K101" s="110">
        <v>6.1000000000000004E-3</v>
      </c>
      <c r="L101" s="110">
        <v>27</v>
      </c>
      <c r="M101" s="110">
        <v>21.32</v>
      </c>
      <c r="N101" s="110">
        <v>60.15</v>
      </c>
      <c r="O101" s="110">
        <v>79.72</v>
      </c>
      <c r="P101" s="110">
        <v>87.88</v>
      </c>
      <c r="Q101" s="111">
        <v>-90.9</v>
      </c>
      <c r="R101" s="111">
        <v>0.55700000000000005</v>
      </c>
      <c r="S101" s="111">
        <v>-8.9999999999999998E-4</v>
      </c>
      <c r="T101" s="111">
        <v>4.6899999999999998E-7</v>
      </c>
      <c r="U101" s="110">
        <v>-1.373</v>
      </c>
      <c r="V101" s="110">
        <v>0.64400000000000002</v>
      </c>
      <c r="W101" s="110" t="s">
        <v>157</v>
      </c>
      <c r="X101" s="110" t="s">
        <v>157</v>
      </c>
      <c r="Y101" s="105">
        <v>12.0107</v>
      </c>
      <c r="Z101" s="105">
        <v>1</v>
      </c>
    </row>
    <row r="102" spans="1:26" x14ac:dyDescent="0.25">
      <c r="A102" s="87"/>
      <c r="H102" s="105">
        <f t="shared" si="2"/>
        <v>6</v>
      </c>
      <c r="I102" s="109" t="s">
        <v>82</v>
      </c>
      <c r="J102" s="110" t="s">
        <v>158</v>
      </c>
      <c r="K102" s="110">
        <v>1.1000000000000001E-3</v>
      </c>
      <c r="L102" s="110">
        <v>41</v>
      </c>
      <c r="M102" s="110">
        <v>26.73</v>
      </c>
      <c r="N102" s="110">
        <v>8.1300000000000008</v>
      </c>
      <c r="O102" s="110">
        <v>2.09</v>
      </c>
      <c r="P102" s="110">
        <v>11.3</v>
      </c>
      <c r="Q102" s="110">
        <v>-2.14</v>
      </c>
      <c r="R102" s="111">
        <v>5.74E-2</v>
      </c>
      <c r="S102" s="111">
        <v>-1.64E-6</v>
      </c>
      <c r="T102" s="111">
        <v>-1.59E-8</v>
      </c>
      <c r="U102" s="110">
        <v>1.101</v>
      </c>
      <c r="V102" s="110">
        <v>2.544</v>
      </c>
      <c r="W102" s="110">
        <v>259.64999999999998</v>
      </c>
      <c r="X102" s="110">
        <v>-0.70199999999999996</v>
      </c>
      <c r="Y102" s="105">
        <v>13.01864</v>
      </c>
      <c r="Z102" s="105">
        <v>2</v>
      </c>
    </row>
    <row r="103" spans="1:26" x14ac:dyDescent="0.25">
      <c r="A103" s="87"/>
      <c r="H103" s="105">
        <f t="shared" si="2"/>
        <v>2</v>
      </c>
      <c r="I103" s="109" t="s">
        <v>84</v>
      </c>
      <c r="J103" s="110">
        <v>1.43E-2</v>
      </c>
      <c r="K103" s="110">
        <v>8.0000000000000004E-4</v>
      </c>
      <c r="L103" s="110">
        <v>32</v>
      </c>
      <c r="M103" s="110">
        <v>31.01</v>
      </c>
      <c r="N103" s="110">
        <v>37.020000000000003</v>
      </c>
      <c r="O103" s="110">
        <v>46.43</v>
      </c>
      <c r="P103" s="110">
        <v>54.05</v>
      </c>
      <c r="Q103" s="110">
        <v>-8.25</v>
      </c>
      <c r="R103" s="111">
        <v>0.10100000000000001</v>
      </c>
      <c r="S103" s="111">
        <v>-1.4200000000000001E-4</v>
      </c>
      <c r="T103" s="111">
        <v>6.7799999999999998E-8</v>
      </c>
      <c r="U103" s="110">
        <v>2.3940000000000001</v>
      </c>
      <c r="V103" s="110">
        <v>3.0590000000000002</v>
      </c>
      <c r="W103" s="110">
        <v>-245.74</v>
      </c>
      <c r="X103" s="110">
        <v>0.91200000000000003</v>
      </c>
      <c r="Y103" s="105">
        <v>12.0107</v>
      </c>
      <c r="Z103" s="105">
        <v>1</v>
      </c>
    </row>
    <row r="104" spans="1:26" x14ac:dyDescent="0.25">
      <c r="A104" s="87"/>
      <c r="H104" s="105"/>
      <c r="I104" s="108" t="s">
        <v>99</v>
      </c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x14ac:dyDescent="0.25">
      <c r="A105" s="87"/>
      <c r="H105" s="105">
        <f t="shared" ref="H105:H108" si="3">C25</f>
        <v>0</v>
      </c>
      <c r="I105" s="109" t="s">
        <v>101</v>
      </c>
      <c r="J105" s="110">
        <v>1.11E-2</v>
      </c>
      <c r="K105" s="110">
        <v>-5.7000000000000002E-3</v>
      </c>
      <c r="L105" s="110">
        <v>27</v>
      </c>
      <c r="M105" s="110">
        <v>-0.03</v>
      </c>
      <c r="N105" s="110">
        <v>-15.78</v>
      </c>
      <c r="O105" s="110">
        <v>-251.92</v>
      </c>
      <c r="P105" s="110">
        <v>-247.19</v>
      </c>
      <c r="Q105" s="111">
        <v>26.5</v>
      </c>
      <c r="R105" s="111">
        <v>-9.1300000000000006E-2</v>
      </c>
      <c r="S105" s="111">
        <v>1.9100000000000001E-4</v>
      </c>
      <c r="T105" s="111">
        <v>-1.03E-7</v>
      </c>
      <c r="U105" s="110">
        <v>1.3979999999999999</v>
      </c>
      <c r="V105" s="110">
        <v>-0.67</v>
      </c>
      <c r="W105" s="110" t="s">
        <v>157</v>
      </c>
      <c r="X105" s="110" t="s">
        <v>157</v>
      </c>
      <c r="Y105" s="113">
        <v>18.998403199999998</v>
      </c>
      <c r="Z105" s="105">
        <v>1</v>
      </c>
    </row>
    <row r="106" spans="1:26" x14ac:dyDescent="0.25">
      <c r="A106" s="87"/>
      <c r="H106" s="105">
        <f t="shared" si="3"/>
        <v>0</v>
      </c>
      <c r="I106" s="109" t="s">
        <v>103</v>
      </c>
      <c r="J106" s="110">
        <v>1.0500000000000001E-2</v>
      </c>
      <c r="K106" s="110">
        <v>-4.8999999999999998E-3</v>
      </c>
      <c r="L106" s="110">
        <v>58</v>
      </c>
      <c r="M106" s="110">
        <v>38.130000000000003</v>
      </c>
      <c r="N106" s="110">
        <v>13.55</v>
      </c>
      <c r="O106" s="110">
        <v>-71.55</v>
      </c>
      <c r="P106" s="110">
        <v>-64.31</v>
      </c>
      <c r="Q106" s="111">
        <v>33.299999999999997</v>
      </c>
      <c r="R106" s="111">
        <v>-9.6299999999999997E-2</v>
      </c>
      <c r="S106" s="111">
        <v>1.8699999999999999E-4</v>
      </c>
      <c r="T106" s="111">
        <v>-9.9600000000000005E-8</v>
      </c>
      <c r="U106" s="110">
        <v>2.5150000000000001</v>
      </c>
      <c r="V106" s="110">
        <v>4.532</v>
      </c>
      <c r="W106" s="110">
        <v>625.45000000000005</v>
      </c>
      <c r="X106" s="110">
        <v>-1.8140000000000001</v>
      </c>
      <c r="Y106" s="105">
        <v>35.453000000000003</v>
      </c>
      <c r="Z106" s="105">
        <v>1</v>
      </c>
    </row>
    <row r="107" spans="1:26" x14ac:dyDescent="0.25">
      <c r="A107" s="87"/>
      <c r="H107" s="105">
        <f t="shared" si="3"/>
        <v>0</v>
      </c>
      <c r="I107" s="109" t="s">
        <v>105</v>
      </c>
      <c r="J107" s="110">
        <v>1.3299999999999999E-2</v>
      </c>
      <c r="K107" s="110">
        <v>5.7000000000000002E-3</v>
      </c>
      <c r="L107" s="110">
        <v>71</v>
      </c>
      <c r="M107" s="110">
        <v>66.86</v>
      </c>
      <c r="N107" s="110">
        <v>43.43</v>
      </c>
      <c r="O107" s="110">
        <v>-29.48</v>
      </c>
      <c r="P107" s="110">
        <v>-38.06</v>
      </c>
      <c r="Q107" s="111">
        <v>28.6</v>
      </c>
      <c r="R107" s="111">
        <v>-6.4899999999999999E-2</v>
      </c>
      <c r="S107" s="111">
        <v>1.36E-4</v>
      </c>
      <c r="T107" s="111">
        <v>-7.4499999999999999E-8</v>
      </c>
      <c r="U107" s="110">
        <v>3.6030000000000002</v>
      </c>
      <c r="V107" s="110">
        <v>6.5819999999999999</v>
      </c>
      <c r="W107" s="110">
        <v>738.91</v>
      </c>
      <c r="X107" s="110">
        <v>-2.0379999999999998</v>
      </c>
      <c r="Y107" s="105">
        <v>79.903999999999996</v>
      </c>
      <c r="Z107" s="105">
        <v>1</v>
      </c>
    </row>
    <row r="108" spans="1:26" x14ac:dyDescent="0.25">
      <c r="A108" s="87"/>
      <c r="H108" s="105">
        <f t="shared" si="3"/>
        <v>0</v>
      </c>
      <c r="I108" s="109" t="s">
        <v>107</v>
      </c>
      <c r="J108" s="110">
        <v>6.7999999999999996E-3</v>
      </c>
      <c r="K108" s="110">
        <v>-3.3999999999999998E-3</v>
      </c>
      <c r="L108" s="110">
        <v>97</v>
      </c>
      <c r="M108" s="110">
        <v>93.84</v>
      </c>
      <c r="N108" s="110">
        <v>41.69</v>
      </c>
      <c r="O108" s="110">
        <v>21.06</v>
      </c>
      <c r="P108" s="110">
        <v>5.74</v>
      </c>
      <c r="Q108" s="111">
        <v>32.1</v>
      </c>
      <c r="R108" s="111">
        <v>-6.4100000000000004E-2</v>
      </c>
      <c r="S108" s="111">
        <v>1.26E-4</v>
      </c>
      <c r="T108" s="111">
        <v>-6.87E-8</v>
      </c>
      <c r="U108" s="110">
        <v>2.7240000000000002</v>
      </c>
      <c r="V108" s="110">
        <v>9.52</v>
      </c>
      <c r="W108" s="110">
        <v>809.55</v>
      </c>
      <c r="X108" s="110">
        <v>-2.2240000000000002</v>
      </c>
      <c r="Y108" s="105">
        <v>126.90447</v>
      </c>
      <c r="Z108" s="105">
        <v>1</v>
      </c>
    </row>
    <row r="109" spans="1:26" x14ac:dyDescent="0.25">
      <c r="A109" s="87"/>
      <c r="H109" s="105"/>
      <c r="I109" s="108" t="s">
        <v>73</v>
      </c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x14ac:dyDescent="0.25">
      <c r="A110" s="87"/>
      <c r="H110" s="105">
        <f t="shared" ref="H110:H119" si="4">G8</f>
        <v>0</v>
      </c>
      <c r="I110" s="109" t="s">
        <v>74</v>
      </c>
      <c r="J110" s="110">
        <v>7.4099999999999999E-2</v>
      </c>
      <c r="K110" s="110">
        <v>1.12E-2</v>
      </c>
      <c r="L110" s="110">
        <v>28</v>
      </c>
      <c r="M110" s="110">
        <v>92.88</v>
      </c>
      <c r="N110" s="110">
        <v>44.45</v>
      </c>
      <c r="O110" s="110">
        <v>-208.04</v>
      </c>
      <c r="P110" s="110">
        <v>-189.2</v>
      </c>
      <c r="Q110" s="111">
        <v>25.7</v>
      </c>
      <c r="R110" s="111">
        <v>-6.9099999999999995E-2</v>
      </c>
      <c r="S110" s="111">
        <v>1.7699999999999999E-4</v>
      </c>
      <c r="T110" s="111">
        <v>-9.8799999999999998E-8</v>
      </c>
      <c r="U110" s="110">
        <v>2.4060000000000001</v>
      </c>
      <c r="V110" s="110">
        <v>16.826000000000001</v>
      </c>
      <c r="W110" s="110">
        <v>2173.7199999999998</v>
      </c>
      <c r="X110" s="110">
        <v>-5.0570000000000004</v>
      </c>
      <c r="Y110" s="105">
        <v>17.007339999999999</v>
      </c>
      <c r="Z110" s="105">
        <v>2</v>
      </c>
    </row>
    <row r="111" spans="1:26" x14ac:dyDescent="0.25">
      <c r="A111" s="87"/>
      <c r="H111" s="105">
        <f t="shared" si="4"/>
        <v>0</v>
      </c>
      <c r="I111" s="109" t="s">
        <v>75</v>
      </c>
      <c r="J111" s="110">
        <v>2.4E-2</v>
      </c>
      <c r="K111" s="110">
        <v>1.84E-2</v>
      </c>
      <c r="L111" s="110">
        <v>-25</v>
      </c>
      <c r="M111" s="110">
        <v>76.34</v>
      </c>
      <c r="N111" s="110">
        <v>82.83</v>
      </c>
      <c r="O111" s="110">
        <v>-221.65</v>
      </c>
      <c r="P111" s="110">
        <v>-197.37</v>
      </c>
      <c r="Q111" s="110">
        <v>-2.81</v>
      </c>
      <c r="R111" s="111">
        <v>0.111</v>
      </c>
      <c r="S111" s="111">
        <v>-1.16E-4</v>
      </c>
      <c r="T111" s="111">
        <v>4.9399999999999999E-8</v>
      </c>
      <c r="U111" s="110">
        <v>4.49</v>
      </c>
      <c r="V111" s="110">
        <v>12.499000000000001</v>
      </c>
      <c r="W111" s="110">
        <v>3018.17</v>
      </c>
      <c r="X111" s="110">
        <v>-7.3140000000000001</v>
      </c>
      <c r="Y111" s="105">
        <v>17.007339999999999</v>
      </c>
      <c r="Z111" s="105">
        <v>2</v>
      </c>
    </row>
    <row r="112" spans="1:26" x14ac:dyDescent="0.25">
      <c r="A112" s="87"/>
      <c r="H112" s="105">
        <f t="shared" si="4"/>
        <v>0</v>
      </c>
      <c r="I112" s="109" t="s">
        <v>77</v>
      </c>
      <c r="J112" s="110">
        <v>1.6799999999999999E-2</v>
      </c>
      <c r="K112" s="110">
        <v>1.5E-3</v>
      </c>
      <c r="L112" s="110">
        <v>18</v>
      </c>
      <c r="M112" s="110">
        <v>22.42</v>
      </c>
      <c r="N112" s="110">
        <v>22.23</v>
      </c>
      <c r="O112" s="110">
        <v>-132.22</v>
      </c>
      <c r="P112" s="110">
        <v>-105</v>
      </c>
      <c r="Q112" s="111">
        <v>25.5</v>
      </c>
      <c r="R112" s="111">
        <v>-6.3200000000000006E-2</v>
      </c>
      <c r="S112" s="111">
        <v>1.11E-4</v>
      </c>
      <c r="T112" s="111">
        <v>-5.4800000000000001E-8</v>
      </c>
      <c r="U112" s="110">
        <v>1.1879999999999999</v>
      </c>
      <c r="V112" s="110">
        <v>2.41</v>
      </c>
      <c r="W112" s="110">
        <v>122.09</v>
      </c>
      <c r="X112" s="110">
        <v>-0.38600000000000001</v>
      </c>
      <c r="Y112" s="105">
        <v>15.9994</v>
      </c>
      <c r="Z112" s="105">
        <v>1</v>
      </c>
    </row>
    <row r="113" spans="1:26" x14ac:dyDescent="0.25">
      <c r="A113" s="87"/>
      <c r="H113" s="105">
        <f t="shared" si="4"/>
        <v>1</v>
      </c>
      <c r="I113" s="109" t="s">
        <v>79</v>
      </c>
      <c r="J113" s="110">
        <v>9.7999999999999997E-3</v>
      </c>
      <c r="K113" s="110">
        <v>4.7999999999999996E-3</v>
      </c>
      <c r="L113" s="110">
        <v>13</v>
      </c>
      <c r="M113" s="110">
        <v>31.22</v>
      </c>
      <c r="N113" s="110">
        <v>23.05</v>
      </c>
      <c r="O113" s="110">
        <v>-138.16</v>
      </c>
      <c r="P113" s="110">
        <v>-98.22</v>
      </c>
      <c r="Q113" s="111">
        <v>12.2</v>
      </c>
      <c r="R113" s="111">
        <v>-1.26E-2</v>
      </c>
      <c r="S113" s="111">
        <v>6.0300000000000002E-5</v>
      </c>
      <c r="T113" s="111">
        <v>-3.8600000000000002E-8</v>
      </c>
      <c r="U113" s="110">
        <v>5.8789999999999996</v>
      </c>
      <c r="V113" s="110">
        <v>4.6820000000000004</v>
      </c>
      <c r="W113" s="110">
        <v>440.24</v>
      </c>
      <c r="X113" s="110">
        <v>-0.95299999999999996</v>
      </c>
      <c r="Y113" s="105">
        <v>15.9994</v>
      </c>
      <c r="Z113" s="105">
        <v>1</v>
      </c>
    </row>
    <row r="114" spans="1:26" x14ac:dyDescent="0.25">
      <c r="A114" s="87"/>
      <c r="H114" s="105">
        <f t="shared" si="4"/>
        <v>0</v>
      </c>
      <c r="I114" s="109" t="s">
        <v>81</v>
      </c>
      <c r="J114" s="110">
        <v>3.7999999999999999E-2</v>
      </c>
      <c r="K114" s="110">
        <v>3.0999999999999999E-3</v>
      </c>
      <c r="L114" s="110">
        <v>62</v>
      </c>
      <c r="M114" s="110">
        <v>76.75</v>
      </c>
      <c r="N114" s="110">
        <v>61.2</v>
      </c>
      <c r="O114" s="110">
        <v>-133.22</v>
      </c>
      <c r="P114" s="110">
        <v>-120.5</v>
      </c>
      <c r="Q114" s="110">
        <v>6.45</v>
      </c>
      <c r="R114" s="111">
        <v>6.7000000000000004E-2</v>
      </c>
      <c r="S114" s="111">
        <v>-3.57E-5</v>
      </c>
      <c r="T114" s="111">
        <v>2.86E-9</v>
      </c>
      <c r="U114" s="110">
        <v>4.1890000000000001</v>
      </c>
      <c r="V114" s="110">
        <v>8.9719999999999995</v>
      </c>
      <c r="W114" s="110">
        <v>340.35</v>
      </c>
      <c r="X114" s="110">
        <v>-0.35</v>
      </c>
      <c r="Y114" s="105">
        <v>28.010100000000001</v>
      </c>
      <c r="Z114" s="105">
        <v>2</v>
      </c>
    </row>
    <row r="115" spans="1:26" x14ac:dyDescent="0.25">
      <c r="A115" s="87"/>
      <c r="H115" s="105">
        <f t="shared" si="4"/>
        <v>1</v>
      </c>
      <c r="I115" s="109" t="s">
        <v>83</v>
      </c>
      <c r="J115" s="110">
        <v>2.8400000000000002E-2</v>
      </c>
      <c r="K115" s="110">
        <v>2.8E-3</v>
      </c>
      <c r="L115" s="110">
        <v>55</v>
      </c>
      <c r="M115" s="110">
        <v>94.97</v>
      </c>
      <c r="N115" s="110">
        <v>75.97</v>
      </c>
      <c r="O115" s="110">
        <v>-164.5</v>
      </c>
      <c r="P115" s="110">
        <v>-126.27</v>
      </c>
      <c r="Q115" s="111">
        <v>30.4</v>
      </c>
      <c r="R115" s="111">
        <v>-8.2900000000000001E-2</v>
      </c>
      <c r="S115" s="111">
        <v>2.3599999999999999E-4</v>
      </c>
      <c r="T115" s="111">
        <v>-1.31E-7</v>
      </c>
      <c r="U115" s="110">
        <v>0</v>
      </c>
      <c r="V115" s="110">
        <v>6.6449999999999996</v>
      </c>
      <c r="W115" s="110" t="s">
        <v>157</v>
      </c>
      <c r="X115" s="110" t="s">
        <v>157</v>
      </c>
      <c r="Y115" s="105">
        <v>28.010100000000001</v>
      </c>
      <c r="Z115" s="105">
        <v>2</v>
      </c>
    </row>
    <row r="116" spans="1:26" x14ac:dyDescent="0.25">
      <c r="A116" s="87"/>
      <c r="H116" s="105">
        <f t="shared" si="4"/>
        <v>0</v>
      </c>
      <c r="I116" s="109" t="s">
        <v>85</v>
      </c>
      <c r="J116" s="110">
        <v>3.7900000000000003E-2</v>
      </c>
      <c r="K116" s="110">
        <v>3.0000000000000001E-3</v>
      </c>
      <c r="L116" s="110">
        <v>82</v>
      </c>
      <c r="M116" s="110">
        <v>72.239999999999995</v>
      </c>
      <c r="N116" s="110">
        <v>36.9</v>
      </c>
      <c r="O116" s="110">
        <v>-162.03</v>
      </c>
      <c r="P116" s="110">
        <v>-143.47999999999999</v>
      </c>
      <c r="Q116" s="111">
        <v>30.9</v>
      </c>
      <c r="R116" s="111">
        <v>-3.3599999999999998E-2</v>
      </c>
      <c r="S116" s="111">
        <v>1.6000000000000001E-4</v>
      </c>
      <c r="T116" s="111">
        <v>-9.8799999999999998E-8</v>
      </c>
      <c r="U116" s="110">
        <v>3.1970000000000001</v>
      </c>
      <c r="V116" s="110">
        <v>9.093</v>
      </c>
      <c r="W116" s="110">
        <v>740.92</v>
      </c>
      <c r="X116" s="110">
        <v>-1.7130000000000001</v>
      </c>
      <c r="Y116" s="105">
        <v>29.018040000000003</v>
      </c>
      <c r="Z116" s="105">
        <v>3</v>
      </c>
    </row>
    <row r="117" spans="1:26" x14ac:dyDescent="0.25">
      <c r="A117" s="87"/>
      <c r="H117" s="105">
        <f t="shared" si="4"/>
        <v>0</v>
      </c>
      <c r="I117" s="109" t="s">
        <v>87</v>
      </c>
      <c r="J117" s="110">
        <v>7.9100000000000004E-2</v>
      </c>
      <c r="K117" s="110">
        <v>7.7000000000000002E-3</v>
      </c>
      <c r="L117" s="110">
        <v>89</v>
      </c>
      <c r="M117" s="110">
        <v>169.09</v>
      </c>
      <c r="N117" s="110">
        <v>155.5</v>
      </c>
      <c r="O117" s="110">
        <v>-426.72</v>
      </c>
      <c r="P117" s="110">
        <v>-387.87</v>
      </c>
      <c r="Q117" s="111">
        <v>24.1</v>
      </c>
      <c r="R117" s="111">
        <v>4.2700000000000002E-2</v>
      </c>
      <c r="S117" s="111">
        <v>8.0400000000000003E-5</v>
      </c>
      <c r="T117" s="111">
        <v>-6.87E-8</v>
      </c>
      <c r="U117" s="110">
        <v>11.051</v>
      </c>
      <c r="V117" s="110">
        <v>19.536999999999999</v>
      </c>
      <c r="W117" s="110">
        <v>1317.23</v>
      </c>
      <c r="X117" s="110">
        <v>-2.5779999999999998</v>
      </c>
      <c r="Y117" s="105">
        <v>45.017440000000001</v>
      </c>
      <c r="Z117" s="105">
        <v>4</v>
      </c>
    </row>
    <row r="118" spans="1:26" x14ac:dyDescent="0.25">
      <c r="A118" s="87"/>
      <c r="H118" s="105">
        <f t="shared" si="4"/>
        <v>0</v>
      </c>
      <c r="I118" s="109" t="s">
        <v>89</v>
      </c>
      <c r="J118" s="110">
        <v>4.8099999999999997E-2</v>
      </c>
      <c r="K118" s="110">
        <v>5.0000000000000001E-4</v>
      </c>
      <c r="L118" s="110">
        <v>82</v>
      </c>
      <c r="M118" s="110">
        <v>81.099999999999994</v>
      </c>
      <c r="N118" s="110">
        <v>53.6</v>
      </c>
      <c r="O118" s="110">
        <v>-337.92</v>
      </c>
      <c r="P118" s="110">
        <v>-301.95</v>
      </c>
      <c r="Q118" s="111">
        <v>24.5</v>
      </c>
      <c r="R118" s="111">
        <v>4.02E-2</v>
      </c>
      <c r="S118" s="111">
        <v>4.0200000000000001E-5</v>
      </c>
      <c r="T118" s="111">
        <v>-4.5200000000000001E-8</v>
      </c>
      <c r="U118" s="110">
        <v>6.9589999999999996</v>
      </c>
      <c r="V118" s="110">
        <v>9.6329999999999991</v>
      </c>
      <c r="W118" s="110">
        <v>483.88</v>
      </c>
      <c r="X118" s="110">
        <v>-0.96599999999999997</v>
      </c>
      <c r="Y118" s="105">
        <v>44.009500000000003</v>
      </c>
      <c r="Z118" s="105">
        <v>3</v>
      </c>
    </row>
    <row r="119" spans="1:26" x14ac:dyDescent="0.25">
      <c r="A119" s="87"/>
      <c r="H119" s="105">
        <f t="shared" si="4"/>
        <v>0</v>
      </c>
      <c r="I119" s="109" t="s">
        <v>91</v>
      </c>
      <c r="J119" s="110" t="s">
        <v>159</v>
      </c>
      <c r="K119" s="110">
        <v>1.01E-2</v>
      </c>
      <c r="L119" s="110">
        <v>36</v>
      </c>
      <c r="M119" s="110">
        <v>-10.5</v>
      </c>
      <c r="N119" s="110">
        <v>2.08</v>
      </c>
      <c r="O119" s="110">
        <v>-247.61</v>
      </c>
      <c r="P119" s="110">
        <v>-250.83</v>
      </c>
      <c r="Q119" s="110">
        <v>6.82</v>
      </c>
      <c r="R119" s="111">
        <v>1.9599999999999999E-2</v>
      </c>
      <c r="S119" s="111">
        <v>1.27E-5</v>
      </c>
      <c r="T119" s="111">
        <v>-1.7800000000000001E-8</v>
      </c>
      <c r="U119" s="110">
        <v>3.6240000000000001</v>
      </c>
      <c r="V119" s="110">
        <v>5.9089999999999998</v>
      </c>
      <c r="W119" s="110">
        <v>675.24</v>
      </c>
      <c r="X119" s="110">
        <v>-1.34</v>
      </c>
      <c r="Y119" s="105">
        <v>15.9994</v>
      </c>
      <c r="Z119" s="105">
        <v>1</v>
      </c>
    </row>
    <row r="120" spans="1:26" x14ac:dyDescent="0.25">
      <c r="A120" s="87"/>
      <c r="H120" s="105"/>
      <c r="I120" s="108" t="s">
        <v>93</v>
      </c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x14ac:dyDescent="0.25">
      <c r="A121" s="87"/>
      <c r="H121" s="105">
        <f t="shared" ref="H121:H129" si="5">G19</f>
        <v>0</v>
      </c>
      <c r="I121" s="109" t="s">
        <v>94</v>
      </c>
      <c r="J121" s="110">
        <v>2.4299999999999999E-2</v>
      </c>
      <c r="K121" s="110">
        <v>1.09E-2</v>
      </c>
      <c r="L121" s="110">
        <v>38</v>
      </c>
      <c r="M121" s="110">
        <v>73.23</v>
      </c>
      <c r="N121" s="110">
        <v>66.89</v>
      </c>
      <c r="O121" s="110">
        <v>-22.02</v>
      </c>
      <c r="P121" s="110">
        <v>14.07</v>
      </c>
      <c r="Q121" s="111">
        <v>26.9</v>
      </c>
      <c r="R121" s="111">
        <v>-4.1200000000000001E-2</v>
      </c>
      <c r="S121" s="111">
        <v>1.64E-4</v>
      </c>
      <c r="T121" s="111">
        <v>-9.76E-8</v>
      </c>
      <c r="U121" s="110">
        <v>3.5150000000000001</v>
      </c>
      <c r="V121" s="110">
        <v>10.788</v>
      </c>
      <c r="W121" s="110"/>
      <c r="X121" s="110"/>
      <c r="Y121" s="105">
        <v>16.022580000000001</v>
      </c>
      <c r="Z121" s="105">
        <v>3</v>
      </c>
    </row>
    <row r="122" spans="1:26" x14ac:dyDescent="0.25">
      <c r="A122" s="87"/>
      <c r="H122" s="105">
        <f t="shared" si="5"/>
        <v>0</v>
      </c>
      <c r="I122" s="109" t="s">
        <v>95</v>
      </c>
      <c r="J122" s="110">
        <v>2.9499999999999998E-2</v>
      </c>
      <c r="K122" s="110">
        <v>7.7000000000000002E-3</v>
      </c>
      <c r="L122" s="110">
        <v>35</v>
      </c>
      <c r="M122" s="110">
        <v>50.17</v>
      </c>
      <c r="N122" s="110">
        <v>52.66</v>
      </c>
      <c r="O122" s="110">
        <v>53.47</v>
      </c>
      <c r="P122" s="110">
        <v>89.39</v>
      </c>
      <c r="Q122" s="110">
        <v>-1.21</v>
      </c>
      <c r="R122" s="111">
        <v>7.6200000000000004E-2</v>
      </c>
      <c r="S122" s="111">
        <v>-4.8600000000000002E-5</v>
      </c>
      <c r="T122" s="111">
        <v>1.05E-8</v>
      </c>
      <c r="U122" s="110">
        <v>5.0990000000000002</v>
      </c>
      <c r="V122" s="110">
        <v>6.4359999999999999</v>
      </c>
      <c r="W122" s="110"/>
      <c r="X122" s="110"/>
      <c r="Y122" s="105">
        <v>15.01464</v>
      </c>
      <c r="Z122" s="105">
        <v>2</v>
      </c>
    </row>
    <row r="123" spans="1:26" x14ac:dyDescent="0.25">
      <c r="A123" s="87"/>
      <c r="H123" s="105">
        <f t="shared" si="5"/>
        <v>0</v>
      </c>
      <c r="I123" s="109" t="s">
        <v>96</v>
      </c>
      <c r="J123" s="110">
        <v>1.2999999999999999E-2</v>
      </c>
      <c r="K123" s="110">
        <v>1.14E-2</v>
      </c>
      <c r="L123" s="110">
        <v>29</v>
      </c>
      <c r="M123" s="110">
        <v>52.82</v>
      </c>
      <c r="N123" s="110">
        <v>101.51</v>
      </c>
      <c r="O123" s="110">
        <v>31.65</v>
      </c>
      <c r="P123" s="110">
        <v>75.61</v>
      </c>
      <c r="Q123" s="111">
        <v>11.8</v>
      </c>
      <c r="R123" s="111">
        <v>-2.3E-2</v>
      </c>
      <c r="S123" s="111">
        <v>1.07E-4</v>
      </c>
      <c r="T123" s="111">
        <v>-6.2800000000000006E-8</v>
      </c>
      <c r="U123" s="110">
        <v>7.49</v>
      </c>
      <c r="V123" s="110">
        <v>6.93</v>
      </c>
      <c r="W123" s="110"/>
      <c r="X123" s="110"/>
      <c r="Y123" s="105">
        <v>15.01464</v>
      </c>
      <c r="Z123" s="105">
        <v>2</v>
      </c>
    </row>
    <row r="124" spans="1:26" x14ac:dyDescent="0.25">
      <c r="A124" s="87"/>
      <c r="H124" s="105">
        <f t="shared" si="5"/>
        <v>0</v>
      </c>
      <c r="I124" s="109" t="s">
        <v>97</v>
      </c>
      <c r="J124" s="110">
        <v>1.6899999999999998E-2</v>
      </c>
      <c r="K124" s="110">
        <v>7.4000000000000003E-3</v>
      </c>
      <c r="L124" s="110">
        <v>9</v>
      </c>
      <c r="M124" s="110">
        <v>11.74</v>
      </c>
      <c r="N124" s="110">
        <v>48.84</v>
      </c>
      <c r="O124" s="110">
        <v>123.34</v>
      </c>
      <c r="P124" s="110">
        <v>163.16</v>
      </c>
      <c r="Q124" s="111">
        <v>-31.1</v>
      </c>
      <c r="R124" s="111">
        <v>0.22700000000000001</v>
      </c>
      <c r="S124" s="111">
        <v>-3.2000000000000003E-4</v>
      </c>
      <c r="T124" s="111">
        <v>1.4600000000000001E-7</v>
      </c>
      <c r="U124" s="110">
        <v>4.7030000000000003</v>
      </c>
      <c r="V124" s="110">
        <v>1.8959999999999999</v>
      </c>
      <c r="W124" s="110"/>
      <c r="X124" s="110"/>
      <c r="Y124" s="105">
        <v>14.0067</v>
      </c>
      <c r="Z124" s="105">
        <v>1</v>
      </c>
    </row>
    <row r="125" spans="1:26" x14ac:dyDescent="0.25">
      <c r="A125" s="87"/>
      <c r="H125" s="105">
        <f t="shared" si="5"/>
        <v>0</v>
      </c>
      <c r="I125" s="109" t="s">
        <v>98</v>
      </c>
      <c r="J125" s="110">
        <v>2.5499999999999998E-2</v>
      </c>
      <c r="K125" s="110">
        <v>-9.9000000000000008E-3</v>
      </c>
      <c r="L125" s="110"/>
      <c r="M125" s="110">
        <v>74.599999999999994</v>
      </c>
      <c r="N125" s="110"/>
      <c r="O125" s="110">
        <v>23.61</v>
      </c>
      <c r="P125" s="110"/>
      <c r="Q125" s="110"/>
      <c r="R125" s="110"/>
      <c r="S125" s="110"/>
      <c r="T125" s="110"/>
      <c r="U125" s="110"/>
      <c r="V125" s="110">
        <v>3.335</v>
      </c>
      <c r="W125" s="110"/>
      <c r="X125" s="110"/>
      <c r="Y125" s="105">
        <v>14.0067</v>
      </c>
      <c r="Z125" s="105">
        <v>1</v>
      </c>
    </row>
    <row r="126" spans="1:26" x14ac:dyDescent="0.25">
      <c r="A126" s="87"/>
      <c r="H126" s="105">
        <f t="shared" si="5"/>
        <v>0</v>
      </c>
      <c r="I126" s="109" t="s">
        <v>100</v>
      </c>
      <c r="J126" s="110">
        <v>8.5000000000000006E-3</v>
      </c>
      <c r="K126" s="110">
        <v>7.6E-3</v>
      </c>
      <c r="L126" s="110">
        <v>34</v>
      </c>
      <c r="M126" s="110">
        <v>57.55</v>
      </c>
      <c r="N126" s="110">
        <v>68.400000000000006</v>
      </c>
      <c r="O126" s="110">
        <v>55.52</v>
      </c>
      <c r="P126" s="110">
        <v>79.930000000000007</v>
      </c>
      <c r="Q126" s="110">
        <v>8.83</v>
      </c>
      <c r="R126" s="111">
        <v>-3.8400000000000001E-3</v>
      </c>
      <c r="S126" s="111">
        <v>4.35E-5</v>
      </c>
      <c r="T126" s="111">
        <v>-2.6000000000000001E-8</v>
      </c>
      <c r="U126" s="110">
        <v>3.649</v>
      </c>
      <c r="V126" s="110">
        <v>6.5279999999999996</v>
      </c>
      <c r="W126" s="110"/>
      <c r="X126" s="110"/>
      <c r="Y126" s="105">
        <v>14.0067</v>
      </c>
      <c r="Z126" s="105">
        <v>1</v>
      </c>
    </row>
    <row r="127" spans="1:26" x14ac:dyDescent="0.25">
      <c r="A127" s="87"/>
      <c r="H127" s="105">
        <f t="shared" si="5"/>
        <v>0</v>
      </c>
      <c r="I127" s="109" t="s">
        <v>102</v>
      </c>
      <c r="J127" s="110"/>
      <c r="K127" s="110"/>
      <c r="L127" s="110"/>
      <c r="M127" s="110">
        <v>83.08</v>
      </c>
      <c r="N127" s="110">
        <v>68.91</v>
      </c>
      <c r="O127" s="110">
        <v>93.7</v>
      </c>
      <c r="P127" s="110">
        <v>119.66</v>
      </c>
      <c r="Q127" s="110">
        <v>5.69</v>
      </c>
      <c r="R127" s="111">
        <v>-4.1200000000000004E-3</v>
      </c>
      <c r="S127" s="111">
        <v>1.2799999999999999E-4</v>
      </c>
      <c r="T127" s="111">
        <v>-8.8800000000000001E-8</v>
      </c>
      <c r="U127" s="110" t="s">
        <v>157</v>
      </c>
      <c r="V127" s="110">
        <v>12.169</v>
      </c>
      <c r="W127" s="110"/>
      <c r="X127" s="110"/>
      <c r="Y127" s="105">
        <v>15.01464</v>
      </c>
      <c r="Z127" s="105">
        <v>2</v>
      </c>
    </row>
    <row r="128" spans="1:26" x14ac:dyDescent="0.25">
      <c r="A128" s="87"/>
      <c r="H128" s="105">
        <f t="shared" si="5"/>
        <v>0</v>
      </c>
      <c r="I128" s="109" t="s">
        <v>104</v>
      </c>
      <c r="J128" s="110">
        <v>4.9599999999999998E-2</v>
      </c>
      <c r="K128" s="110">
        <v>-1.01E-2</v>
      </c>
      <c r="L128" s="110">
        <v>91</v>
      </c>
      <c r="M128" s="110">
        <v>125.66</v>
      </c>
      <c r="N128" s="110">
        <v>59.89</v>
      </c>
      <c r="O128" s="110">
        <v>88.43</v>
      </c>
      <c r="P128" s="110">
        <v>89.22</v>
      </c>
      <c r="Q128" s="111">
        <v>36.5</v>
      </c>
      <c r="R128" s="111">
        <v>-7.3300000000000004E-2</v>
      </c>
      <c r="S128" s="111">
        <v>1.84E-4</v>
      </c>
      <c r="T128" s="111">
        <v>-1.03E-7</v>
      </c>
      <c r="U128" s="110">
        <v>2.4140000000000001</v>
      </c>
      <c r="V128" s="110">
        <v>12.851000000000001</v>
      </c>
      <c r="W128" s="110"/>
      <c r="X128" s="110"/>
      <c r="Y128" s="105">
        <v>26.017400000000002</v>
      </c>
      <c r="Z128" s="105">
        <v>2</v>
      </c>
    </row>
    <row r="129" spans="1:26" x14ac:dyDescent="0.25">
      <c r="A129" s="87"/>
      <c r="H129" s="105">
        <f t="shared" si="5"/>
        <v>0</v>
      </c>
      <c r="I129" s="109" t="s">
        <v>106</v>
      </c>
      <c r="J129" s="110">
        <v>4.3700000000000003E-2</v>
      </c>
      <c r="K129" s="110">
        <v>6.4000000000000003E-3</v>
      </c>
      <c r="L129" s="110">
        <v>91</v>
      </c>
      <c r="M129" s="110">
        <v>152.54</v>
      </c>
      <c r="N129" s="110">
        <v>127.24</v>
      </c>
      <c r="O129" s="110">
        <v>-66.569999999999993</v>
      </c>
      <c r="P129" s="110">
        <v>-16.829999999999998</v>
      </c>
      <c r="Q129" s="111">
        <v>25.9</v>
      </c>
      <c r="R129" s="111">
        <v>-3.7399999999999998E-3</v>
      </c>
      <c r="S129" s="111">
        <v>1.2899999999999999E-4</v>
      </c>
      <c r="T129" s="111">
        <v>-8.8800000000000001E-8</v>
      </c>
      <c r="U129" s="110">
        <v>9.6790000000000003</v>
      </c>
      <c r="V129" s="110">
        <v>16.738</v>
      </c>
      <c r="W129" s="110"/>
      <c r="X129" s="110"/>
      <c r="Y129" s="105">
        <v>46.005499999999998</v>
      </c>
      <c r="Z129" s="105">
        <v>3</v>
      </c>
    </row>
    <row r="130" spans="1:26" x14ac:dyDescent="0.25">
      <c r="A130" s="87"/>
      <c r="H130" s="105"/>
      <c r="I130" s="108" t="s">
        <v>108</v>
      </c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x14ac:dyDescent="0.25">
      <c r="A131" s="87"/>
      <c r="H131" s="105">
        <f t="shared" ref="H131:H133" si="6">G29</f>
        <v>0</v>
      </c>
      <c r="I131" s="109" t="s">
        <v>109</v>
      </c>
      <c r="J131" s="110">
        <v>3.0999999999999999E-3</v>
      </c>
      <c r="K131" s="110">
        <v>8.3999999999999995E-3</v>
      </c>
      <c r="L131" s="110">
        <v>63</v>
      </c>
      <c r="M131" s="110">
        <v>63.56</v>
      </c>
      <c r="N131" s="110">
        <v>20.09</v>
      </c>
      <c r="O131" s="110">
        <v>-17.329999999999998</v>
      </c>
      <c r="P131" s="110">
        <v>-22.99</v>
      </c>
      <c r="Q131" s="111">
        <v>35.299999999999997</v>
      </c>
      <c r="R131" s="111">
        <v>-7.5800000000000006E-2</v>
      </c>
      <c r="S131" s="111">
        <v>1.85E-4</v>
      </c>
      <c r="T131" s="111">
        <v>-1.03E-7</v>
      </c>
      <c r="U131" s="110">
        <v>2.36</v>
      </c>
      <c r="V131" s="110">
        <v>6.8840000000000003</v>
      </c>
      <c r="W131" s="110"/>
      <c r="X131" s="110"/>
      <c r="Y131" s="105">
        <v>33.072939999999996</v>
      </c>
      <c r="Z131" s="105">
        <v>2</v>
      </c>
    </row>
    <row r="132" spans="1:26" x14ac:dyDescent="0.25">
      <c r="A132" s="87"/>
      <c r="H132" s="105">
        <f t="shared" si="6"/>
        <v>0</v>
      </c>
      <c r="I132" s="109" t="s">
        <v>110</v>
      </c>
      <c r="J132" s="110">
        <v>1.1900000000000001E-2</v>
      </c>
      <c r="K132" s="110">
        <v>4.8999999999999998E-3</v>
      </c>
      <c r="L132" s="110">
        <v>54</v>
      </c>
      <c r="M132" s="110">
        <v>68.78</v>
      </c>
      <c r="N132" s="110">
        <v>34.4</v>
      </c>
      <c r="O132" s="110">
        <v>41.87</v>
      </c>
      <c r="P132" s="110">
        <v>33.119999999999997</v>
      </c>
      <c r="Q132" s="111">
        <v>19.600000000000001</v>
      </c>
      <c r="R132" s="111">
        <v>-5.6100000000000004E-3</v>
      </c>
      <c r="S132" s="111">
        <v>4.0200000000000001E-5</v>
      </c>
      <c r="T132" s="111">
        <v>-2.7599999999999999E-8</v>
      </c>
      <c r="U132" s="110">
        <v>4.13</v>
      </c>
      <c r="V132" s="110">
        <v>6.8170000000000002</v>
      </c>
      <c r="W132" s="110"/>
      <c r="X132" s="110"/>
      <c r="Y132" s="105">
        <v>32.064999999999998</v>
      </c>
      <c r="Z132" s="105">
        <v>1</v>
      </c>
    </row>
    <row r="133" spans="1:26" x14ac:dyDescent="0.25">
      <c r="A133" s="87"/>
      <c r="H133" s="105">
        <f t="shared" si="6"/>
        <v>0</v>
      </c>
      <c r="I133" s="109" t="s">
        <v>111</v>
      </c>
      <c r="J133" s="110">
        <v>1.9E-3</v>
      </c>
      <c r="K133" s="110">
        <v>5.1000000000000004E-3</v>
      </c>
      <c r="L133" s="110">
        <v>38</v>
      </c>
      <c r="M133" s="110">
        <v>52.1</v>
      </c>
      <c r="N133" s="110">
        <v>79.930000000000007</v>
      </c>
      <c r="O133" s="110">
        <v>39.1</v>
      </c>
      <c r="P133" s="110">
        <v>27.76</v>
      </c>
      <c r="Q133" s="111">
        <v>16.7</v>
      </c>
      <c r="R133" s="111">
        <v>4.81E-3</v>
      </c>
      <c r="S133" s="111">
        <v>2.7699999999999999E-5</v>
      </c>
      <c r="T133" s="111">
        <v>-2.11E-8</v>
      </c>
      <c r="U133" s="110">
        <v>1.5569999999999999</v>
      </c>
      <c r="V133" s="110">
        <v>5.984</v>
      </c>
      <c r="W133" s="110"/>
      <c r="X133" s="110"/>
      <c r="Y133" s="105">
        <v>32.064999999999998</v>
      </c>
      <c r="Z133" s="105">
        <v>1</v>
      </c>
    </row>
    <row r="134" spans="1:26" x14ac:dyDescent="0.25">
      <c r="A134" s="87"/>
    </row>
    <row r="135" spans="1:26" x14ac:dyDescent="0.25">
      <c r="A135" s="87"/>
    </row>
    <row r="136" spans="1:26" x14ac:dyDescent="0.25">
      <c r="A136" s="87"/>
      <c r="I136" s="114" t="s">
        <v>160</v>
      </c>
    </row>
    <row r="137" spans="1:26" x14ac:dyDescent="0.25">
      <c r="A137" s="87"/>
      <c r="I137" s="37" t="s">
        <v>161</v>
      </c>
      <c r="J137" s="37">
        <f>G37*0.98692327</f>
        <v>42.942268833411077</v>
      </c>
      <c r="K137" s="37" t="s">
        <v>162</v>
      </c>
    </row>
    <row r="138" spans="1:26" x14ac:dyDescent="0.25">
      <c r="A138" s="87"/>
      <c r="I138" s="37" t="s">
        <v>163</v>
      </c>
      <c r="J138" s="37">
        <f>G35/G36</f>
        <v>0.64399976000000003</v>
      </c>
    </row>
    <row r="139" spans="1:26" x14ac:dyDescent="0.25">
      <c r="A139" s="87"/>
      <c r="I139" s="37" t="s">
        <v>164</v>
      </c>
      <c r="J139" s="37">
        <f>(-1*LN(J137)-5.92714+6.09648/J138 + 1.28862*LN(J138)-0.169347*(J138^6) )/(15.2518 - 15.6875/J138-13.4721*LN(J138)+0.43577*(J138^6) )</f>
        <v>0.25398022457558717</v>
      </c>
    </row>
    <row r="140" spans="1:26" x14ac:dyDescent="0.25">
      <c r="A140" s="87"/>
    </row>
    <row r="141" spans="1:26" x14ac:dyDescent="0.25">
      <c r="A141" s="87"/>
      <c r="I141" s="115" t="s">
        <v>165</v>
      </c>
    </row>
    <row r="142" spans="1:26" x14ac:dyDescent="0.25">
      <c r="A142" s="87"/>
      <c r="I142" s="37" t="s">
        <v>166</v>
      </c>
      <c r="J142" s="99">
        <f>Q83-37.93</f>
        <v>-24.67</v>
      </c>
    </row>
    <row r="143" spans="1:26" x14ac:dyDescent="0.25">
      <c r="A143" s="87"/>
      <c r="I143" s="37" t="s">
        <v>167</v>
      </c>
      <c r="J143" s="99">
        <f>R83+0.21</f>
        <v>0.66090000000000004</v>
      </c>
    </row>
    <row r="144" spans="1:26" x14ac:dyDescent="0.25">
      <c r="A144" s="87"/>
      <c r="I144" s="37" t="s">
        <v>168</v>
      </c>
      <c r="J144" s="116">
        <f>S83-0.000391</f>
        <v>-3.8854000000000004E-4</v>
      </c>
    </row>
    <row r="145" spans="1:10" x14ac:dyDescent="0.25">
      <c r="A145" s="87"/>
      <c r="I145" s="37" t="s">
        <v>169</v>
      </c>
      <c r="J145" s="37">
        <f>T83+0.000000206</f>
        <v>7.6600000000000011E-8</v>
      </c>
    </row>
    <row r="146" spans="1:10" x14ac:dyDescent="0.25">
      <c r="A146" s="87"/>
    </row>
    <row r="147" spans="1:10" x14ac:dyDescent="0.25">
      <c r="A147" s="87"/>
      <c r="I147" s="115" t="s">
        <v>134</v>
      </c>
    </row>
    <row r="148" spans="1:10" x14ac:dyDescent="0.25">
      <c r="A148" s="87"/>
      <c r="I148" s="37" t="s">
        <v>166</v>
      </c>
      <c r="J148" s="37">
        <f>W83-597.82</f>
        <v>908.8399999999998</v>
      </c>
    </row>
    <row r="149" spans="1:10" x14ac:dyDescent="0.25">
      <c r="A149" s="87"/>
      <c r="I149" s="37" t="s">
        <v>167</v>
      </c>
      <c r="J149" s="37">
        <f>X83-11.202</f>
        <v>-14.542999999999999</v>
      </c>
    </row>
    <row r="150" spans="1:10" x14ac:dyDescent="0.25">
      <c r="A150" s="87"/>
    </row>
    <row r="151" spans="1:10" x14ac:dyDescent="0.25">
      <c r="A151" s="87"/>
    </row>
    <row r="152" spans="1:10" x14ac:dyDescent="0.25">
      <c r="A152" s="87"/>
    </row>
    <row r="153" spans="1:10" x14ac:dyDescent="0.25">
      <c r="A153" s="87"/>
    </row>
    <row r="154" spans="1:10" x14ac:dyDescent="0.25">
      <c r="A154" s="87"/>
    </row>
    <row r="155" spans="1:10" x14ac:dyDescent="0.25">
      <c r="A155" s="87"/>
    </row>
    <row r="156" spans="1:10" x14ac:dyDescent="0.25">
      <c r="A156" s="87"/>
    </row>
    <row r="157" spans="1:10" x14ac:dyDescent="0.25">
      <c r="A157" s="87"/>
    </row>
    <row r="158" spans="1:10" x14ac:dyDescent="0.25">
      <c r="A158" s="87"/>
    </row>
    <row r="159" spans="1:10" x14ac:dyDescent="0.25">
      <c r="A159" s="87"/>
    </row>
    <row r="160" spans="1:10" x14ac:dyDescent="0.25">
      <c r="A160" s="87"/>
    </row>
    <row r="161" spans="1:1" x14ac:dyDescent="0.25">
      <c r="A161" s="87"/>
    </row>
    <row r="162" spans="1:1" x14ac:dyDescent="0.25">
      <c r="A162" s="87"/>
    </row>
    <row r="163" spans="1:1" x14ac:dyDescent="0.25">
      <c r="A163" s="87"/>
    </row>
    <row r="164" spans="1:1" x14ac:dyDescent="0.25">
      <c r="A164" s="87"/>
    </row>
    <row r="165" spans="1:1" x14ac:dyDescent="0.25">
      <c r="A165" s="87"/>
    </row>
    <row r="166" spans="1:1" x14ac:dyDescent="0.25">
      <c r="A166" s="87"/>
    </row>
    <row r="167" spans="1:1" x14ac:dyDescent="0.25">
      <c r="A167" s="87"/>
    </row>
    <row r="168" spans="1:1" x14ac:dyDescent="0.25">
      <c r="A168" s="87"/>
    </row>
    <row r="169" spans="1:1" x14ac:dyDescent="0.25">
      <c r="A169" s="87"/>
    </row>
    <row r="170" spans="1:1" x14ac:dyDescent="0.25">
      <c r="A170" s="87"/>
    </row>
    <row r="171" spans="1:1" x14ac:dyDescent="0.25">
      <c r="A171" s="87"/>
    </row>
    <row r="172" spans="1:1" x14ac:dyDescent="0.25">
      <c r="A172" s="87"/>
    </row>
    <row r="173" spans="1:1" x14ac:dyDescent="0.25">
      <c r="A173" s="87"/>
    </row>
    <row r="174" spans="1:1" x14ac:dyDescent="0.25">
      <c r="A174" s="87"/>
    </row>
    <row r="175" spans="1:1" x14ac:dyDescent="0.25">
      <c r="A175" s="87"/>
    </row>
    <row r="176" spans="1:1" x14ac:dyDescent="0.25">
      <c r="A176" s="87"/>
    </row>
    <row r="177" spans="1:1" x14ac:dyDescent="0.25">
      <c r="A177" s="87"/>
    </row>
    <row r="178" spans="1:1" x14ac:dyDescent="0.25">
      <c r="A178" s="87"/>
    </row>
    <row r="179" spans="1:1" x14ac:dyDescent="0.25">
      <c r="A179" s="87"/>
    </row>
    <row r="180" spans="1:1" x14ac:dyDescent="0.25">
      <c r="A180" s="87"/>
    </row>
    <row r="181" spans="1:1" x14ac:dyDescent="0.25">
      <c r="A181" s="87"/>
    </row>
    <row r="182" spans="1:1" x14ac:dyDescent="0.25">
      <c r="A182" s="87"/>
    </row>
    <row r="183" spans="1:1" x14ac:dyDescent="0.25">
      <c r="A183" s="87"/>
    </row>
    <row r="184" spans="1:1" x14ac:dyDescent="0.25">
      <c r="A184" s="87"/>
    </row>
    <row r="185" spans="1:1" x14ac:dyDescent="0.25">
      <c r="A185" s="87"/>
    </row>
    <row r="186" spans="1:1" x14ac:dyDescent="0.25">
      <c r="A186" s="87"/>
    </row>
    <row r="187" spans="1:1" x14ac:dyDescent="0.25">
      <c r="A187" s="87"/>
    </row>
    <row r="188" spans="1:1" x14ac:dyDescent="0.25">
      <c r="A188" s="87"/>
    </row>
    <row r="189" spans="1:1" x14ac:dyDescent="0.25">
      <c r="A189" s="87"/>
    </row>
    <row r="190" spans="1:1" x14ac:dyDescent="0.25">
      <c r="A190" s="87"/>
    </row>
    <row r="191" spans="1:1" x14ac:dyDescent="0.25">
      <c r="A191" s="87"/>
    </row>
    <row r="192" spans="1:1" x14ac:dyDescent="0.25">
      <c r="A192" s="87"/>
    </row>
    <row r="193" spans="1:1" x14ac:dyDescent="0.25">
      <c r="A193" s="87"/>
    </row>
    <row r="194" spans="1:1" x14ac:dyDescent="0.25">
      <c r="A194" s="87"/>
    </row>
    <row r="195" spans="1:1" x14ac:dyDescent="0.25">
      <c r="A195" s="87"/>
    </row>
    <row r="196" spans="1:1" x14ac:dyDescent="0.25">
      <c r="A196" s="87"/>
    </row>
    <row r="197" spans="1:1" x14ac:dyDescent="0.25">
      <c r="A197" s="87"/>
    </row>
    <row r="198" spans="1:1" x14ac:dyDescent="0.25">
      <c r="A198" s="87"/>
    </row>
    <row r="199" spans="1:1" x14ac:dyDescent="0.25">
      <c r="A199" s="87"/>
    </row>
    <row r="200" spans="1:1" x14ac:dyDescent="0.25">
      <c r="A200" s="87"/>
    </row>
    <row r="201" spans="1:1" x14ac:dyDescent="0.25">
      <c r="A201" s="87"/>
    </row>
    <row r="202" spans="1:1" x14ac:dyDescent="0.25">
      <c r="A202" s="87"/>
    </row>
    <row r="203" spans="1:1" x14ac:dyDescent="0.25">
      <c r="A203" s="87"/>
    </row>
    <row r="204" spans="1:1" x14ac:dyDescent="0.25">
      <c r="A204" s="87"/>
    </row>
    <row r="205" spans="1:1" x14ac:dyDescent="0.25">
      <c r="A205" s="87"/>
    </row>
    <row r="206" spans="1:1" x14ac:dyDescent="0.25">
      <c r="A206" s="87"/>
    </row>
    <row r="207" spans="1:1" x14ac:dyDescent="0.25">
      <c r="A207" s="87"/>
    </row>
    <row r="208" spans="1:1" x14ac:dyDescent="0.25">
      <c r="A208" s="87"/>
    </row>
    <row r="209" spans="1:1" x14ac:dyDescent="0.25">
      <c r="A209" s="87"/>
    </row>
    <row r="210" spans="1:1" x14ac:dyDescent="0.25">
      <c r="A210" s="87"/>
    </row>
    <row r="211" spans="1:1" x14ac:dyDescent="0.25">
      <c r="A211" s="87"/>
    </row>
    <row r="212" spans="1:1" x14ac:dyDescent="0.25">
      <c r="A212" s="87"/>
    </row>
    <row r="213" spans="1:1" x14ac:dyDescent="0.25">
      <c r="A213" s="87"/>
    </row>
    <row r="214" spans="1:1" x14ac:dyDescent="0.25">
      <c r="A214" s="87"/>
    </row>
    <row r="215" spans="1:1" x14ac:dyDescent="0.25">
      <c r="A215" s="87"/>
    </row>
    <row r="216" spans="1:1" x14ac:dyDescent="0.25">
      <c r="A216" s="87"/>
    </row>
    <row r="217" spans="1:1" x14ac:dyDescent="0.25">
      <c r="A217" s="87"/>
    </row>
    <row r="218" spans="1:1" x14ac:dyDescent="0.25">
      <c r="A218" s="87"/>
    </row>
    <row r="219" spans="1:1" x14ac:dyDescent="0.25">
      <c r="A219" s="87"/>
    </row>
    <row r="220" spans="1:1" x14ac:dyDescent="0.25">
      <c r="A220" s="87"/>
    </row>
    <row r="221" spans="1:1" x14ac:dyDescent="0.25">
      <c r="A221" s="87"/>
    </row>
    <row r="222" spans="1:1" x14ac:dyDescent="0.25">
      <c r="A222" s="87"/>
    </row>
    <row r="223" spans="1:1" x14ac:dyDescent="0.25">
      <c r="A223" s="87"/>
    </row>
    <row r="224" spans="1:1" x14ac:dyDescent="0.25">
      <c r="A224" s="87"/>
    </row>
    <row r="225" spans="1:1" x14ac:dyDescent="0.25">
      <c r="A225" s="87"/>
    </row>
    <row r="226" spans="1:1" x14ac:dyDescent="0.25">
      <c r="A226" s="87"/>
    </row>
    <row r="227" spans="1:1" x14ac:dyDescent="0.25">
      <c r="A227" s="87"/>
    </row>
    <row r="228" spans="1:1" x14ac:dyDescent="0.25">
      <c r="A228" s="87"/>
    </row>
    <row r="229" spans="1:1" x14ac:dyDescent="0.25">
      <c r="A229" s="87"/>
    </row>
    <row r="230" spans="1:1" x14ac:dyDescent="0.25">
      <c r="A230" s="87"/>
    </row>
    <row r="231" spans="1:1" x14ac:dyDescent="0.25">
      <c r="A231" s="87"/>
    </row>
    <row r="232" spans="1:1" x14ac:dyDescent="0.25">
      <c r="A232" s="87"/>
    </row>
    <row r="233" spans="1:1" x14ac:dyDescent="0.25">
      <c r="A233" s="87"/>
    </row>
    <row r="234" spans="1:1" x14ac:dyDescent="0.25">
      <c r="A234" s="87"/>
    </row>
    <row r="235" spans="1:1" x14ac:dyDescent="0.25">
      <c r="A235" s="87"/>
    </row>
    <row r="236" spans="1:1" x14ac:dyDescent="0.25">
      <c r="A236" s="87"/>
    </row>
    <row r="237" spans="1:1" x14ac:dyDescent="0.25">
      <c r="A237" s="87"/>
    </row>
    <row r="238" spans="1:1" x14ac:dyDescent="0.25">
      <c r="A238" s="87"/>
    </row>
    <row r="239" spans="1:1" x14ac:dyDescent="0.25">
      <c r="A239" s="87"/>
    </row>
    <row r="240" spans="1:1" x14ac:dyDescent="0.25">
      <c r="A240" s="87"/>
    </row>
    <row r="241" spans="1:1" x14ac:dyDescent="0.25">
      <c r="A241" s="87"/>
    </row>
    <row r="242" spans="1:1" x14ac:dyDescent="0.25">
      <c r="A242" s="87"/>
    </row>
    <row r="243" spans="1:1" x14ac:dyDescent="0.25">
      <c r="A243" s="87"/>
    </row>
    <row r="244" spans="1:1" x14ac:dyDescent="0.25">
      <c r="A244" s="87"/>
    </row>
    <row r="245" spans="1:1" x14ac:dyDescent="0.25">
      <c r="A245" s="87"/>
    </row>
    <row r="246" spans="1:1" x14ac:dyDescent="0.25">
      <c r="A246" s="87"/>
    </row>
    <row r="247" spans="1:1" x14ac:dyDescent="0.25">
      <c r="A247" s="87"/>
    </row>
    <row r="248" spans="1:1" x14ac:dyDescent="0.25">
      <c r="A248" s="87"/>
    </row>
    <row r="249" spans="1:1" x14ac:dyDescent="0.25">
      <c r="A249" s="87"/>
    </row>
    <row r="250" spans="1:1" x14ac:dyDescent="0.25">
      <c r="A250" s="87"/>
    </row>
    <row r="251" spans="1:1" x14ac:dyDescent="0.25">
      <c r="A251" s="87"/>
    </row>
    <row r="252" spans="1:1" x14ac:dyDescent="0.25">
      <c r="A252" s="87"/>
    </row>
    <row r="253" spans="1:1" x14ac:dyDescent="0.25">
      <c r="A253" s="87"/>
    </row>
    <row r="254" spans="1:1" x14ac:dyDescent="0.25">
      <c r="A254" s="87"/>
    </row>
    <row r="255" spans="1:1" x14ac:dyDescent="0.25">
      <c r="A255" s="87"/>
    </row>
    <row r="256" spans="1:1" x14ac:dyDescent="0.25">
      <c r="A256" s="87"/>
    </row>
    <row r="257" spans="1:1" x14ac:dyDescent="0.25">
      <c r="A257" s="87"/>
    </row>
    <row r="258" spans="1:1" x14ac:dyDescent="0.25">
      <c r="A258" s="87"/>
    </row>
    <row r="259" spans="1:1" x14ac:dyDescent="0.25">
      <c r="A259" s="87"/>
    </row>
    <row r="260" spans="1:1" x14ac:dyDescent="0.25">
      <c r="A260" s="87"/>
    </row>
    <row r="261" spans="1:1" x14ac:dyDescent="0.25">
      <c r="A261" s="87"/>
    </row>
    <row r="262" spans="1:1" x14ac:dyDescent="0.25">
      <c r="A262" s="87"/>
    </row>
    <row r="263" spans="1:1" x14ac:dyDescent="0.25">
      <c r="A263" s="87"/>
    </row>
    <row r="264" spans="1:1" x14ac:dyDescent="0.25">
      <c r="A264" s="87"/>
    </row>
    <row r="265" spans="1:1" x14ac:dyDescent="0.25">
      <c r="A265" s="87"/>
    </row>
    <row r="266" spans="1:1" x14ac:dyDescent="0.25">
      <c r="A266" s="87"/>
    </row>
    <row r="267" spans="1:1" x14ac:dyDescent="0.25">
      <c r="A267" s="87"/>
    </row>
    <row r="268" spans="1:1" x14ac:dyDescent="0.25">
      <c r="A268" s="87"/>
    </row>
    <row r="269" spans="1:1" x14ac:dyDescent="0.25">
      <c r="A269" s="87"/>
    </row>
    <row r="270" spans="1:1" x14ac:dyDescent="0.25">
      <c r="A270" s="87"/>
    </row>
    <row r="271" spans="1:1" x14ac:dyDescent="0.25">
      <c r="A271" s="87"/>
    </row>
    <row r="272" spans="1:1" x14ac:dyDescent="0.25">
      <c r="A272" s="87"/>
    </row>
    <row r="273" spans="1:1" x14ac:dyDescent="0.25">
      <c r="A273" s="87"/>
    </row>
    <row r="274" spans="1:1" x14ac:dyDescent="0.25">
      <c r="A274" s="87"/>
    </row>
    <row r="275" spans="1:1" x14ac:dyDescent="0.25">
      <c r="A275" s="87"/>
    </row>
    <row r="276" spans="1:1" x14ac:dyDescent="0.25">
      <c r="A276" s="87"/>
    </row>
    <row r="277" spans="1:1" x14ac:dyDescent="0.25">
      <c r="A277" s="87"/>
    </row>
    <row r="278" spans="1:1" x14ac:dyDescent="0.25">
      <c r="A278" s="87"/>
    </row>
    <row r="279" spans="1:1" x14ac:dyDescent="0.25">
      <c r="A279" s="87"/>
    </row>
    <row r="280" spans="1:1" x14ac:dyDescent="0.25">
      <c r="A280" s="87"/>
    </row>
    <row r="281" spans="1:1" x14ac:dyDescent="0.25">
      <c r="A281" s="87"/>
    </row>
    <row r="282" spans="1:1" x14ac:dyDescent="0.25">
      <c r="A282" s="87"/>
    </row>
    <row r="283" spans="1:1" x14ac:dyDescent="0.25">
      <c r="A283" s="87"/>
    </row>
    <row r="284" spans="1:1" x14ac:dyDescent="0.25">
      <c r="A284" s="87"/>
    </row>
    <row r="285" spans="1:1" x14ac:dyDescent="0.25">
      <c r="A285" s="87"/>
    </row>
    <row r="286" spans="1:1" x14ac:dyDescent="0.25">
      <c r="A286" s="87"/>
    </row>
    <row r="287" spans="1:1" x14ac:dyDescent="0.25">
      <c r="A287" s="87"/>
    </row>
    <row r="288" spans="1:1" x14ac:dyDescent="0.25">
      <c r="A288" s="87"/>
    </row>
    <row r="289" spans="1:1" x14ac:dyDescent="0.25">
      <c r="A289" s="87"/>
    </row>
    <row r="290" spans="1:1" x14ac:dyDescent="0.25">
      <c r="A290" s="87"/>
    </row>
    <row r="291" spans="1:1" x14ac:dyDescent="0.25">
      <c r="A291" s="87"/>
    </row>
    <row r="292" spans="1:1" x14ac:dyDescent="0.25">
      <c r="A292" s="87"/>
    </row>
    <row r="293" spans="1:1" x14ac:dyDescent="0.25">
      <c r="A293" s="87"/>
    </row>
    <row r="294" spans="1:1" x14ac:dyDescent="0.25">
      <c r="A294" s="87"/>
    </row>
    <row r="295" spans="1:1" x14ac:dyDescent="0.25">
      <c r="A295" s="87"/>
    </row>
    <row r="296" spans="1:1" x14ac:dyDescent="0.25">
      <c r="A296" s="87"/>
    </row>
    <row r="297" spans="1:1" x14ac:dyDescent="0.25">
      <c r="A297" s="87"/>
    </row>
    <row r="298" spans="1:1" x14ac:dyDescent="0.25">
      <c r="A298" s="87"/>
    </row>
    <row r="299" spans="1:1" x14ac:dyDescent="0.25">
      <c r="A299" s="87"/>
    </row>
    <row r="300" spans="1:1" x14ac:dyDescent="0.25">
      <c r="A300" s="87"/>
    </row>
    <row r="301" spans="1:1" x14ac:dyDescent="0.25">
      <c r="A301" s="87"/>
    </row>
    <row r="302" spans="1:1" x14ac:dyDescent="0.25">
      <c r="A302" s="87"/>
    </row>
    <row r="303" spans="1:1" x14ac:dyDescent="0.25">
      <c r="A303" s="87"/>
    </row>
    <row r="304" spans="1:1" x14ac:dyDescent="0.25">
      <c r="A304" s="87"/>
    </row>
    <row r="305" spans="1:1" x14ac:dyDescent="0.25">
      <c r="A305" s="87"/>
    </row>
    <row r="306" spans="1:1" x14ac:dyDescent="0.25">
      <c r="A306" s="87"/>
    </row>
    <row r="307" spans="1:1" x14ac:dyDescent="0.25">
      <c r="A307" s="87"/>
    </row>
    <row r="308" spans="1:1" x14ac:dyDescent="0.25">
      <c r="A308" s="87"/>
    </row>
    <row r="309" spans="1:1" x14ac:dyDescent="0.25">
      <c r="A309" s="87"/>
    </row>
    <row r="310" spans="1:1" x14ac:dyDescent="0.25">
      <c r="A310" s="87"/>
    </row>
    <row r="311" spans="1:1" x14ac:dyDescent="0.25">
      <c r="A311" s="87"/>
    </row>
    <row r="312" spans="1:1" x14ac:dyDescent="0.25">
      <c r="A312" s="87"/>
    </row>
    <row r="313" spans="1:1" x14ac:dyDescent="0.25">
      <c r="A313" s="87"/>
    </row>
    <row r="314" spans="1:1" x14ac:dyDescent="0.25">
      <c r="A314" s="87"/>
    </row>
    <row r="315" spans="1:1" x14ac:dyDescent="0.25">
      <c r="A315" s="87"/>
    </row>
    <row r="316" spans="1:1" x14ac:dyDescent="0.25">
      <c r="A316" s="87"/>
    </row>
    <row r="317" spans="1:1" x14ac:dyDescent="0.25">
      <c r="A317" s="87"/>
    </row>
    <row r="318" spans="1:1" x14ac:dyDescent="0.25">
      <c r="A318" s="87"/>
    </row>
    <row r="319" spans="1:1" x14ac:dyDescent="0.25">
      <c r="A319" s="87"/>
    </row>
    <row r="320" spans="1:1" x14ac:dyDescent="0.25">
      <c r="A320" s="87"/>
    </row>
    <row r="321" spans="1:1" x14ac:dyDescent="0.25">
      <c r="A321" s="87"/>
    </row>
    <row r="322" spans="1:1" x14ac:dyDescent="0.25">
      <c r="A322" s="87"/>
    </row>
    <row r="323" spans="1:1" x14ac:dyDescent="0.25">
      <c r="A323" s="87"/>
    </row>
    <row r="324" spans="1:1" x14ac:dyDescent="0.25">
      <c r="A324" s="87"/>
    </row>
    <row r="325" spans="1:1" x14ac:dyDescent="0.25">
      <c r="A325" s="87"/>
    </row>
    <row r="326" spans="1:1" x14ac:dyDescent="0.25">
      <c r="A326" s="87"/>
    </row>
    <row r="327" spans="1:1" x14ac:dyDescent="0.25">
      <c r="A327" s="87"/>
    </row>
    <row r="328" spans="1:1" x14ac:dyDescent="0.25">
      <c r="A328" s="87"/>
    </row>
    <row r="329" spans="1:1" x14ac:dyDescent="0.25">
      <c r="A329" s="87"/>
    </row>
    <row r="330" spans="1:1" x14ac:dyDescent="0.25">
      <c r="A330" s="87"/>
    </row>
    <row r="331" spans="1:1" x14ac:dyDescent="0.25">
      <c r="A331" s="87"/>
    </row>
    <row r="332" spans="1:1" x14ac:dyDescent="0.25">
      <c r="A332" s="87"/>
    </row>
    <row r="333" spans="1:1" x14ac:dyDescent="0.25">
      <c r="A333" s="87"/>
    </row>
    <row r="334" spans="1:1" x14ac:dyDescent="0.25">
      <c r="A334" s="87"/>
    </row>
    <row r="335" spans="1:1" x14ac:dyDescent="0.25">
      <c r="A335" s="87"/>
    </row>
    <row r="336" spans="1:1" x14ac:dyDescent="0.25">
      <c r="A336" s="87"/>
    </row>
    <row r="337" spans="1:1" x14ac:dyDescent="0.25">
      <c r="A337" s="87"/>
    </row>
    <row r="338" spans="1:1" x14ac:dyDescent="0.25">
      <c r="A338" s="87"/>
    </row>
    <row r="339" spans="1:1" x14ac:dyDescent="0.25">
      <c r="A339" s="87"/>
    </row>
    <row r="340" spans="1:1" x14ac:dyDescent="0.25">
      <c r="A340" s="87"/>
    </row>
    <row r="341" spans="1:1" x14ac:dyDescent="0.25">
      <c r="A341" s="87"/>
    </row>
    <row r="342" spans="1:1" x14ac:dyDescent="0.25">
      <c r="A342" s="87"/>
    </row>
    <row r="343" spans="1:1" x14ac:dyDescent="0.25">
      <c r="A343" s="87"/>
    </row>
    <row r="344" spans="1:1" x14ac:dyDescent="0.25">
      <c r="A344" s="87"/>
    </row>
    <row r="345" spans="1:1" x14ac:dyDescent="0.25">
      <c r="A345" s="87"/>
    </row>
    <row r="346" spans="1:1" x14ac:dyDescent="0.25">
      <c r="A346" s="87"/>
    </row>
    <row r="347" spans="1:1" x14ac:dyDescent="0.25">
      <c r="A347" s="87"/>
    </row>
    <row r="348" spans="1:1" x14ac:dyDescent="0.25">
      <c r="A348" s="87"/>
    </row>
    <row r="349" spans="1:1" x14ac:dyDescent="0.25">
      <c r="A349" s="87"/>
    </row>
    <row r="350" spans="1:1" x14ac:dyDescent="0.25">
      <c r="A350" s="87"/>
    </row>
    <row r="351" spans="1:1" x14ac:dyDescent="0.25">
      <c r="A351" s="87"/>
    </row>
    <row r="352" spans="1:1" x14ac:dyDescent="0.25">
      <c r="A352" s="87"/>
    </row>
    <row r="353" spans="1:1" x14ac:dyDescent="0.25">
      <c r="A353" s="87"/>
    </row>
    <row r="354" spans="1:1" x14ac:dyDescent="0.25">
      <c r="A354" s="87"/>
    </row>
    <row r="355" spans="1:1" x14ac:dyDescent="0.25">
      <c r="A355" s="87"/>
    </row>
    <row r="356" spans="1:1" x14ac:dyDescent="0.25">
      <c r="A356" s="87"/>
    </row>
    <row r="357" spans="1:1" x14ac:dyDescent="0.25">
      <c r="A357" s="87"/>
    </row>
    <row r="358" spans="1:1" x14ac:dyDescent="0.25">
      <c r="A358" s="87"/>
    </row>
    <row r="359" spans="1:1" x14ac:dyDescent="0.25">
      <c r="A359" s="87"/>
    </row>
    <row r="360" spans="1:1" x14ac:dyDescent="0.25">
      <c r="A360" s="87"/>
    </row>
    <row r="361" spans="1:1" x14ac:dyDescent="0.25">
      <c r="A361" s="87"/>
    </row>
    <row r="362" spans="1:1" x14ac:dyDescent="0.25">
      <c r="A362" s="87"/>
    </row>
    <row r="363" spans="1:1" x14ac:dyDescent="0.25">
      <c r="A363" s="87"/>
    </row>
    <row r="364" spans="1:1" x14ac:dyDescent="0.25">
      <c r="A364" s="87"/>
    </row>
    <row r="365" spans="1:1" x14ac:dyDescent="0.25">
      <c r="A365" s="87"/>
    </row>
    <row r="366" spans="1:1" x14ac:dyDescent="0.25">
      <c r="A366" s="87"/>
    </row>
    <row r="367" spans="1:1" x14ac:dyDescent="0.25">
      <c r="A367" s="87"/>
    </row>
    <row r="368" spans="1:1" x14ac:dyDescent="0.25">
      <c r="A368" s="87"/>
    </row>
    <row r="369" spans="1:1" x14ac:dyDescent="0.25">
      <c r="A369" s="87"/>
    </row>
    <row r="370" spans="1:1" x14ac:dyDescent="0.25">
      <c r="A370" s="87"/>
    </row>
    <row r="371" spans="1:1" x14ac:dyDescent="0.25">
      <c r="A371" s="87"/>
    </row>
    <row r="372" spans="1:1" x14ac:dyDescent="0.25">
      <c r="A372" s="87"/>
    </row>
    <row r="373" spans="1:1" x14ac:dyDescent="0.25">
      <c r="A373" s="87"/>
    </row>
    <row r="374" spans="1:1" x14ac:dyDescent="0.25">
      <c r="A374" s="87"/>
    </row>
    <row r="375" spans="1:1" x14ac:dyDescent="0.25">
      <c r="A375" s="87"/>
    </row>
    <row r="376" spans="1:1" x14ac:dyDescent="0.25">
      <c r="A376" s="87"/>
    </row>
    <row r="377" spans="1:1" x14ac:dyDescent="0.25">
      <c r="A377" s="87"/>
    </row>
    <row r="378" spans="1:1" x14ac:dyDescent="0.25">
      <c r="A378" s="87"/>
    </row>
    <row r="379" spans="1:1" x14ac:dyDescent="0.25">
      <c r="A379" s="87"/>
    </row>
    <row r="380" spans="1:1" x14ac:dyDescent="0.25">
      <c r="A380" s="87"/>
    </row>
    <row r="381" spans="1:1" x14ac:dyDescent="0.25">
      <c r="A381" s="87"/>
    </row>
    <row r="382" spans="1:1" x14ac:dyDescent="0.25">
      <c r="A382" s="87"/>
    </row>
    <row r="383" spans="1:1" x14ac:dyDescent="0.25">
      <c r="A383" s="87"/>
    </row>
    <row r="384" spans="1:1" x14ac:dyDescent="0.25">
      <c r="A384" s="87"/>
    </row>
    <row r="385" spans="1:1" x14ac:dyDescent="0.25">
      <c r="A385" s="87"/>
    </row>
    <row r="386" spans="1:1" x14ac:dyDescent="0.25">
      <c r="A386" s="87"/>
    </row>
    <row r="387" spans="1:1" x14ac:dyDescent="0.25">
      <c r="A387" s="87"/>
    </row>
    <row r="388" spans="1:1" x14ac:dyDescent="0.25">
      <c r="A388" s="87"/>
    </row>
    <row r="389" spans="1:1" x14ac:dyDescent="0.25">
      <c r="A389" s="87"/>
    </row>
    <row r="390" spans="1:1" x14ac:dyDescent="0.25">
      <c r="A390" s="87"/>
    </row>
    <row r="391" spans="1:1" x14ac:dyDescent="0.25">
      <c r="A391" s="87"/>
    </row>
    <row r="392" spans="1:1" x14ac:dyDescent="0.25">
      <c r="A392" s="87"/>
    </row>
    <row r="393" spans="1:1" x14ac:dyDescent="0.25">
      <c r="A393" s="87"/>
    </row>
    <row r="394" spans="1:1" x14ac:dyDescent="0.25">
      <c r="A394" s="87"/>
    </row>
    <row r="395" spans="1:1" x14ac:dyDescent="0.25">
      <c r="A395" s="87"/>
    </row>
    <row r="396" spans="1:1" x14ac:dyDescent="0.25">
      <c r="A396" s="87"/>
    </row>
    <row r="397" spans="1:1" x14ac:dyDescent="0.25">
      <c r="A397" s="87"/>
    </row>
    <row r="398" spans="1:1" x14ac:dyDescent="0.25">
      <c r="A398" s="87"/>
    </row>
    <row r="399" spans="1:1" x14ac:dyDescent="0.25">
      <c r="A399" s="87"/>
    </row>
    <row r="400" spans="1:1" x14ac:dyDescent="0.25">
      <c r="A400" s="87"/>
    </row>
    <row r="401" spans="1:1" x14ac:dyDescent="0.25">
      <c r="A401" s="87"/>
    </row>
    <row r="402" spans="1:1" x14ac:dyDescent="0.25">
      <c r="A402" s="87"/>
    </row>
    <row r="403" spans="1:1" x14ac:dyDescent="0.25">
      <c r="A403" s="87"/>
    </row>
    <row r="404" spans="1:1" x14ac:dyDescent="0.25">
      <c r="A404" s="87"/>
    </row>
    <row r="405" spans="1:1" x14ac:dyDescent="0.25">
      <c r="A405" s="87"/>
    </row>
    <row r="406" spans="1:1" x14ac:dyDescent="0.25">
      <c r="A406" s="87"/>
    </row>
    <row r="407" spans="1:1" x14ac:dyDescent="0.25">
      <c r="A407" s="87"/>
    </row>
    <row r="408" spans="1:1" x14ac:dyDescent="0.25">
      <c r="A408" s="87"/>
    </row>
    <row r="409" spans="1:1" x14ac:dyDescent="0.25">
      <c r="A409" s="87"/>
    </row>
    <row r="410" spans="1:1" x14ac:dyDescent="0.25">
      <c r="A410" s="87"/>
    </row>
    <row r="411" spans="1:1" x14ac:dyDescent="0.25">
      <c r="A411" s="87"/>
    </row>
    <row r="412" spans="1:1" x14ac:dyDescent="0.25">
      <c r="A412" s="87"/>
    </row>
    <row r="413" spans="1:1" x14ac:dyDescent="0.25">
      <c r="A413" s="87"/>
    </row>
    <row r="414" spans="1:1" x14ac:dyDescent="0.25">
      <c r="A414" s="87"/>
    </row>
    <row r="415" spans="1:1" x14ac:dyDescent="0.25">
      <c r="A415" s="87"/>
    </row>
    <row r="416" spans="1:1" x14ac:dyDescent="0.25">
      <c r="A416" s="87"/>
    </row>
    <row r="417" spans="1:1" x14ac:dyDescent="0.25">
      <c r="A417" s="87"/>
    </row>
    <row r="418" spans="1:1" x14ac:dyDescent="0.25">
      <c r="A418" s="87"/>
    </row>
    <row r="419" spans="1:1" x14ac:dyDescent="0.25">
      <c r="A419" s="87"/>
    </row>
    <row r="420" spans="1:1" x14ac:dyDescent="0.25">
      <c r="A420" s="87"/>
    </row>
    <row r="421" spans="1:1" x14ac:dyDescent="0.25">
      <c r="A421" s="87"/>
    </row>
    <row r="422" spans="1:1" x14ac:dyDescent="0.25">
      <c r="A422" s="87"/>
    </row>
    <row r="423" spans="1:1" x14ac:dyDescent="0.25">
      <c r="A423" s="87"/>
    </row>
    <row r="424" spans="1:1" x14ac:dyDescent="0.25">
      <c r="A424" s="87"/>
    </row>
    <row r="425" spans="1:1" x14ac:dyDescent="0.25">
      <c r="A425" s="87"/>
    </row>
    <row r="426" spans="1:1" x14ac:dyDescent="0.25">
      <c r="A426" s="87"/>
    </row>
    <row r="427" spans="1:1" x14ac:dyDescent="0.25">
      <c r="A427" s="87"/>
    </row>
    <row r="428" spans="1:1" x14ac:dyDescent="0.25">
      <c r="A428" s="87"/>
    </row>
    <row r="429" spans="1:1" x14ac:dyDescent="0.25">
      <c r="A429" s="87"/>
    </row>
    <row r="430" spans="1:1" x14ac:dyDescent="0.25">
      <c r="A430" s="87"/>
    </row>
    <row r="431" spans="1:1" x14ac:dyDescent="0.25">
      <c r="A431" s="87"/>
    </row>
    <row r="432" spans="1:1" x14ac:dyDescent="0.25">
      <c r="A432" s="87"/>
    </row>
    <row r="433" spans="1:1" x14ac:dyDescent="0.25">
      <c r="A433" s="87"/>
    </row>
    <row r="434" spans="1:1" x14ac:dyDescent="0.25">
      <c r="A434" s="87"/>
    </row>
    <row r="435" spans="1:1" x14ac:dyDescent="0.25">
      <c r="A435" s="87"/>
    </row>
    <row r="436" spans="1:1" x14ac:dyDescent="0.25">
      <c r="A436" s="87"/>
    </row>
    <row r="437" spans="1:1" x14ac:dyDescent="0.25">
      <c r="A437" s="87"/>
    </row>
    <row r="438" spans="1:1" x14ac:dyDescent="0.25">
      <c r="A438" s="87"/>
    </row>
    <row r="439" spans="1:1" x14ac:dyDescent="0.25">
      <c r="A439" s="87"/>
    </row>
    <row r="440" spans="1:1" x14ac:dyDescent="0.25">
      <c r="A440" s="87"/>
    </row>
    <row r="441" spans="1:1" x14ac:dyDescent="0.25">
      <c r="A441" s="87"/>
    </row>
    <row r="442" spans="1:1" x14ac:dyDescent="0.25">
      <c r="A442" s="87"/>
    </row>
    <row r="443" spans="1:1" x14ac:dyDescent="0.25">
      <c r="A443" s="87"/>
    </row>
    <row r="444" spans="1:1" x14ac:dyDescent="0.25">
      <c r="A444" s="87"/>
    </row>
    <row r="445" spans="1:1" x14ac:dyDescent="0.25">
      <c r="A445" s="87"/>
    </row>
    <row r="446" spans="1:1" x14ac:dyDescent="0.25">
      <c r="A446" s="87"/>
    </row>
    <row r="447" spans="1:1" x14ac:dyDescent="0.25">
      <c r="A447" s="87"/>
    </row>
    <row r="448" spans="1:1" x14ac:dyDescent="0.25">
      <c r="A448" s="87"/>
    </row>
    <row r="449" spans="1:1" x14ac:dyDescent="0.25">
      <c r="A449" s="87"/>
    </row>
    <row r="450" spans="1:1" x14ac:dyDescent="0.25">
      <c r="A450" s="87"/>
    </row>
    <row r="451" spans="1:1" x14ac:dyDescent="0.25">
      <c r="A451" s="87"/>
    </row>
    <row r="452" spans="1:1" x14ac:dyDescent="0.25">
      <c r="A452" s="87"/>
    </row>
    <row r="453" spans="1:1" x14ac:dyDescent="0.25">
      <c r="A453" s="87"/>
    </row>
    <row r="454" spans="1:1" x14ac:dyDescent="0.25">
      <c r="A454" s="87"/>
    </row>
    <row r="455" spans="1:1" x14ac:dyDescent="0.25">
      <c r="A455" s="87"/>
    </row>
    <row r="456" spans="1:1" x14ac:dyDescent="0.25">
      <c r="A456" s="87"/>
    </row>
    <row r="457" spans="1:1" x14ac:dyDescent="0.25">
      <c r="A457" s="87"/>
    </row>
    <row r="458" spans="1:1" x14ac:dyDescent="0.25">
      <c r="A458" s="87"/>
    </row>
    <row r="459" spans="1:1" x14ac:dyDescent="0.25">
      <c r="A459" s="87"/>
    </row>
    <row r="460" spans="1:1" x14ac:dyDescent="0.25">
      <c r="A460" s="87"/>
    </row>
    <row r="461" spans="1:1" x14ac:dyDescent="0.25">
      <c r="A461" s="87"/>
    </row>
    <row r="462" spans="1:1" x14ac:dyDescent="0.25">
      <c r="A462" s="87"/>
    </row>
    <row r="463" spans="1:1" x14ac:dyDescent="0.25">
      <c r="A463" s="87"/>
    </row>
    <row r="464" spans="1:1" x14ac:dyDescent="0.25">
      <c r="A464" s="87"/>
    </row>
    <row r="465" spans="1:1" x14ac:dyDescent="0.25">
      <c r="A465" s="87"/>
    </row>
    <row r="466" spans="1:1" x14ac:dyDescent="0.25">
      <c r="A466" s="87"/>
    </row>
    <row r="467" spans="1:1" x14ac:dyDescent="0.25">
      <c r="A467" s="87"/>
    </row>
    <row r="468" spans="1:1" x14ac:dyDescent="0.25">
      <c r="A468" s="87"/>
    </row>
    <row r="469" spans="1:1" x14ac:dyDescent="0.25">
      <c r="A469" s="87"/>
    </row>
    <row r="470" spans="1:1" x14ac:dyDescent="0.25">
      <c r="A470" s="87"/>
    </row>
    <row r="471" spans="1:1" x14ac:dyDescent="0.25">
      <c r="A471" s="87"/>
    </row>
    <row r="472" spans="1:1" x14ac:dyDescent="0.25">
      <c r="A472" s="87"/>
    </row>
    <row r="473" spans="1:1" x14ac:dyDescent="0.25">
      <c r="A473" s="87"/>
    </row>
    <row r="474" spans="1:1" x14ac:dyDescent="0.25">
      <c r="A474" s="87"/>
    </row>
    <row r="475" spans="1:1" x14ac:dyDescent="0.25">
      <c r="A475" s="87"/>
    </row>
    <row r="476" spans="1:1" x14ac:dyDescent="0.25">
      <c r="A476" s="87"/>
    </row>
    <row r="477" spans="1:1" x14ac:dyDescent="0.25">
      <c r="A477" s="87"/>
    </row>
    <row r="478" spans="1:1" x14ac:dyDescent="0.25">
      <c r="A478" s="87"/>
    </row>
    <row r="479" spans="1:1" x14ac:dyDescent="0.25">
      <c r="A479" s="87"/>
    </row>
    <row r="480" spans="1:1" x14ac:dyDescent="0.25">
      <c r="A480" s="87"/>
    </row>
    <row r="481" spans="1:1" x14ac:dyDescent="0.25">
      <c r="A481" s="87"/>
    </row>
    <row r="482" spans="1:1" x14ac:dyDescent="0.25">
      <c r="A482" s="87"/>
    </row>
    <row r="483" spans="1:1" x14ac:dyDescent="0.25">
      <c r="A483" s="87"/>
    </row>
    <row r="484" spans="1:1" x14ac:dyDescent="0.25">
      <c r="A484" s="87"/>
    </row>
    <row r="485" spans="1:1" x14ac:dyDescent="0.25">
      <c r="A485" s="87"/>
    </row>
    <row r="486" spans="1:1" x14ac:dyDescent="0.25">
      <c r="A486" s="87"/>
    </row>
    <row r="487" spans="1:1" x14ac:dyDescent="0.25">
      <c r="A487" s="87"/>
    </row>
    <row r="488" spans="1:1" x14ac:dyDescent="0.25">
      <c r="A488" s="87"/>
    </row>
    <row r="489" spans="1:1" x14ac:dyDescent="0.25">
      <c r="A489" s="87"/>
    </row>
    <row r="490" spans="1:1" x14ac:dyDescent="0.25">
      <c r="A490" s="87"/>
    </row>
    <row r="491" spans="1:1" x14ac:dyDescent="0.25">
      <c r="A491" s="87"/>
    </row>
    <row r="492" spans="1:1" x14ac:dyDescent="0.25">
      <c r="A492" s="87"/>
    </row>
    <row r="493" spans="1:1" x14ac:dyDescent="0.25">
      <c r="A493" s="87"/>
    </row>
    <row r="494" spans="1:1" x14ac:dyDescent="0.25">
      <c r="A494" s="87"/>
    </row>
    <row r="495" spans="1:1" x14ac:dyDescent="0.25">
      <c r="A495" s="87"/>
    </row>
    <row r="496" spans="1:1" x14ac:dyDescent="0.25">
      <c r="A496" s="87"/>
    </row>
    <row r="497" spans="1:1" x14ac:dyDescent="0.25">
      <c r="A497" s="87"/>
    </row>
    <row r="498" spans="1:1" x14ac:dyDescent="0.25">
      <c r="A498" s="87"/>
    </row>
    <row r="499" spans="1:1" x14ac:dyDescent="0.25">
      <c r="A499" s="87"/>
    </row>
    <row r="500" spans="1:1" x14ac:dyDescent="0.25">
      <c r="A500" s="87"/>
    </row>
    <row r="501" spans="1:1" x14ac:dyDescent="0.25">
      <c r="A501" s="87"/>
    </row>
    <row r="502" spans="1:1" x14ac:dyDescent="0.25">
      <c r="A502" s="87"/>
    </row>
    <row r="503" spans="1:1" x14ac:dyDescent="0.25">
      <c r="A503" s="87"/>
    </row>
    <row r="504" spans="1:1" x14ac:dyDescent="0.25">
      <c r="A504" s="87"/>
    </row>
    <row r="505" spans="1:1" x14ac:dyDescent="0.25">
      <c r="A505" s="87"/>
    </row>
    <row r="506" spans="1:1" x14ac:dyDescent="0.25">
      <c r="A506" s="87"/>
    </row>
    <row r="507" spans="1:1" x14ac:dyDescent="0.25">
      <c r="A507" s="87"/>
    </row>
    <row r="508" spans="1:1" x14ac:dyDescent="0.25">
      <c r="A508" s="87"/>
    </row>
    <row r="509" spans="1:1" x14ac:dyDescent="0.25">
      <c r="A509" s="87"/>
    </row>
    <row r="510" spans="1:1" x14ac:dyDescent="0.25">
      <c r="A510" s="87"/>
    </row>
    <row r="511" spans="1:1" x14ac:dyDescent="0.25">
      <c r="A511" s="87"/>
    </row>
    <row r="512" spans="1:1" x14ac:dyDescent="0.25">
      <c r="A512" s="87"/>
    </row>
    <row r="513" spans="1:1" x14ac:dyDescent="0.25">
      <c r="A513" s="87"/>
    </row>
    <row r="514" spans="1:1" x14ac:dyDescent="0.25">
      <c r="A514" s="87"/>
    </row>
    <row r="515" spans="1:1" x14ac:dyDescent="0.25">
      <c r="A515" s="87"/>
    </row>
    <row r="516" spans="1:1" x14ac:dyDescent="0.25">
      <c r="A516" s="87"/>
    </row>
    <row r="517" spans="1:1" x14ac:dyDescent="0.25">
      <c r="A517" s="87"/>
    </row>
    <row r="518" spans="1:1" x14ac:dyDescent="0.25">
      <c r="A518" s="87"/>
    </row>
    <row r="519" spans="1:1" x14ac:dyDescent="0.25">
      <c r="A519" s="87"/>
    </row>
    <row r="520" spans="1:1" x14ac:dyDescent="0.25">
      <c r="A520" s="87"/>
    </row>
    <row r="521" spans="1:1" x14ac:dyDescent="0.25">
      <c r="A521" s="87"/>
    </row>
    <row r="522" spans="1:1" x14ac:dyDescent="0.25">
      <c r="A522" s="87"/>
    </row>
    <row r="523" spans="1:1" x14ac:dyDescent="0.25">
      <c r="A523" s="87"/>
    </row>
    <row r="524" spans="1:1" x14ac:dyDescent="0.25">
      <c r="A524" s="87"/>
    </row>
    <row r="525" spans="1:1" x14ac:dyDescent="0.25">
      <c r="A525" s="87"/>
    </row>
    <row r="526" spans="1:1" x14ac:dyDescent="0.25">
      <c r="A526" s="87"/>
    </row>
    <row r="527" spans="1:1" x14ac:dyDescent="0.25">
      <c r="A527" s="87"/>
    </row>
    <row r="528" spans="1:1" x14ac:dyDescent="0.25">
      <c r="A528" s="87"/>
    </row>
    <row r="529" spans="1:1" x14ac:dyDescent="0.25">
      <c r="A529" s="87"/>
    </row>
    <row r="530" spans="1:1" x14ac:dyDescent="0.25">
      <c r="A530" s="87"/>
    </row>
    <row r="531" spans="1:1" x14ac:dyDescent="0.25">
      <c r="A531" s="87"/>
    </row>
    <row r="532" spans="1:1" x14ac:dyDescent="0.25">
      <c r="A532" s="87"/>
    </row>
    <row r="533" spans="1:1" x14ac:dyDescent="0.25">
      <c r="A533" s="87"/>
    </row>
    <row r="534" spans="1:1" x14ac:dyDescent="0.25">
      <c r="A534" s="87"/>
    </row>
    <row r="535" spans="1:1" x14ac:dyDescent="0.25">
      <c r="A535" s="87"/>
    </row>
    <row r="536" spans="1:1" x14ac:dyDescent="0.25">
      <c r="A536" s="87"/>
    </row>
    <row r="537" spans="1:1" x14ac:dyDescent="0.25">
      <c r="A537" s="87"/>
    </row>
    <row r="538" spans="1:1" x14ac:dyDescent="0.25">
      <c r="A538" s="87"/>
    </row>
    <row r="539" spans="1:1" x14ac:dyDescent="0.25">
      <c r="A539" s="87"/>
    </row>
    <row r="540" spans="1:1" x14ac:dyDescent="0.25">
      <c r="A540" s="87"/>
    </row>
    <row r="541" spans="1:1" x14ac:dyDescent="0.25">
      <c r="A541" s="87"/>
    </row>
    <row r="542" spans="1:1" x14ac:dyDescent="0.25">
      <c r="A542" s="87"/>
    </row>
    <row r="543" spans="1:1" x14ac:dyDescent="0.25">
      <c r="A543" s="87"/>
    </row>
    <row r="544" spans="1:1" x14ac:dyDescent="0.25">
      <c r="A544" s="87"/>
    </row>
    <row r="545" spans="1:1" x14ac:dyDescent="0.25">
      <c r="A545" s="87"/>
    </row>
    <row r="546" spans="1:1" x14ac:dyDescent="0.25">
      <c r="A546" s="87"/>
    </row>
    <row r="547" spans="1:1" x14ac:dyDescent="0.25">
      <c r="A547" s="87"/>
    </row>
    <row r="548" spans="1:1" x14ac:dyDescent="0.25">
      <c r="A548" s="87"/>
    </row>
    <row r="549" spans="1:1" x14ac:dyDescent="0.25">
      <c r="A549" s="87"/>
    </row>
    <row r="550" spans="1:1" x14ac:dyDescent="0.25">
      <c r="A550" s="87"/>
    </row>
    <row r="551" spans="1:1" x14ac:dyDescent="0.25">
      <c r="A551" s="87"/>
    </row>
    <row r="552" spans="1:1" x14ac:dyDescent="0.25">
      <c r="A552" s="87"/>
    </row>
    <row r="553" spans="1:1" x14ac:dyDescent="0.25">
      <c r="A553" s="87"/>
    </row>
    <row r="554" spans="1:1" x14ac:dyDescent="0.25">
      <c r="A554" s="87"/>
    </row>
    <row r="555" spans="1:1" x14ac:dyDescent="0.25">
      <c r="A555" s="87"/>
    </row>
    <row r="556" spans="1:1" x14ac:dyDescent="0.25">
      <c r="A556" s="87"/>
    </row>
    <row r="557" spans="1:1" x14ac:dyDescent="0.25">
      <c r="A557" s="87"/>
    </row>
    <row r="558" spans="1:1" x14ac:dyDescent="0.25">
      <c r="A558" s="87"/>
    </row>
    <row r="559" spans="1:1" x14ac:dyDescent="0.25">
      <c r="A559" s="87"/>
    </row>
    <row r="560" spans="1:1" x14ac:dyDescent="0.25">
      <c r="A560" s="87"/>
    </row>
    <row r="561" spans="1:1" x14ac:dyDescent="0.25">
      <c r="A561" s="87"/>
    </row>
    <row r="562" spans="1:1" x14ac:dyDescent="0.25">
      <c r="A562" s="87"/>
    </row>
    <row r="563" spans="1:1" x14ac:dyDescent="0.25">
      <c r="A563" s="87"/>
    </row>
    <row r="564" spans="1:1" x14ac:dyDescent="0.25">
      <c r="A564" s="87"/>
    </row>
    <row r="565" spans="1:1" x14ac:dyDescent="0.25">
      <c r="A565" s="87"/>
    </row>
    <row r="566" spans="1:1" x14ac:dyDescent="0.25">
      <c r="A566" s="87"/>
    </row>
    <row r="567" spans="1:1" x14ac:dyDescent="0.25">
      <c r="A567" s="87"/>
    </row>
    <row r="568" spans="1:1" x14ac:dyDescent="0.25">
      <c r="A568" s="87"/>
    </row>
    <row r="569" spans="1:1" x14ac:dyDescent="0.25">
      <c r="A569" s="87"/>
    </row>
    <row r="570" spans="1:1" x14ac:dyDescent="0.25">
      <c r="A570" s="87"/>
    </row>
    <row r="571" spans="1:1" x14ac:dyDescent="0.25">
      <c r="A571" s="87"/>
    </row>
    <row r="572" spans="1:1" x14ac:dyDescent="0.25">
      <c r="A572" s="87"/>
    </row>
    <row r="573" spans="1:1" x14ac:dyDescent="0.25">
      <c r="A573" s="87"/>
    </row>
    <row r="574" spans="1:1" x14ac:dyDescent="0.25">
      <c r="A574" s="87"/>
    </row>
    <row r="575" spans="1:1" x14ac:dyDescent="0.25">
      <c r="A575" s="87"/>
    </row>
    <row r="576" spans="1:1" x14ac:dyDescent="0.25">
      <c r="A576" s="87"/>
    </row>
    <row r="577" spans="1:1" x14ac:dyDescent="0.25">
      <c r="A577" s="87"/>
    </row>
    <row r="578" spans="1:1" x14ac:dyDescent="0.25">
      <c r="A578" s="87"/>
    </row>
    <row r="579" spans="1:1" x14ac:dyDescent="0.25">
      <c r="A579" s="87"/>
    </row>
    <row r="580" spans="1:1" x14ac:dyDescent="0.25">
      <c r="A580" s="87"/>
    </row>
    <row r="581" spans="1:1" x14ac:dyDescent="0.25">
      <c r="A581" s="87"/>
    </row>
    <row r="582" spans="1:1" x14ac:dyDescent="0.25">
      <c r="A582" s="87"/>
    </row>
    <row r="583" spans="1:1" x14ac:dyDescent="0.25">
      <c r="A583" s="87"/>
    </row>
    <row r="584" spans="1:1" x14ac:dyDescent="0.25">
      <c r="A584" s="87"/>
    </row>
    <row r="585" spans="1:1" x14ac:dyDescent="0.25">
      <c r="A585" s="87"/>
    </row>
    <row r="586" spans="1:1" x14ac:dyDescent="0.25">
      <c r="A586" s="87"/>
    </row>
    <row r="587" spans="1:1" x14ac:dyDescent="0.25">
      <c r="A587" s="87"/>
    </row>
    <row r="588" spans="1:1" x14ac:dyDescent="0.25">
      <c r="A588" s="87"/>
    </row>
    <row r="589" spans="1:1" x14ac:dyDescent="0.25">
      <c r="A589" s="87"/>
    </row>
    <row r="590" spans="1:1" x14ac:dyDescent="0.25">
      <c r="A590" s="87"/>
    </row>
    <row r="591" spans="1:1" x14ac:dyDescent="0.25">
      <c r="A591" s="87"/>
    </row>
    <row r="592" spans="1:1" x14ac:dyDescent="0.25">
      <c r="A592" s="87"/>
    </row>
    <row r="593" spans="1:1" x14ac:dyDescent="0.25">
      <c r="A593" s="87"/>
    </row>
    <row r="594" spans="1:1" x14ac:dyDescent="0.25">
      <c r="A594" s="87"/>
    </row>
    <row r="595" spans="1:1" x14ac:dyDescent="0.25">
      <c r="A595" s="87"/>
    </row>
    <row r="596" spans="1:1" x14ac:dyDescent="0.25">
      <c r="A596" s="87"/>
    </row>
    <row r="597" spans="1:1" x14ac:dyDescent="0.25">
      <c r="A597" s="87"/>
    </row>
    <row r="598" spans="1:1" x14ac:dyDescent="0.25">
      <c r="A598" s="87"/>
    </row>
    <row r="599" spans="1:1" x14ac:dyDescent="0.25">
      <c r="A599" s="87"/>
    </row>
    <row r="600" spans="1:1" x14ac:dyDescent="0.25">
      <c r="A600" s="87"/>
    </row>
    <row r="601" spans="1:1" x14ac:dyDescent="0.25">
      <c r="A601" s="87"/>
    </row>
    <row r="602" spans="1:1" x14ac:dyDescent="0.25">
      <c r="A602" s="87"/>
    </row>
    <row r="603" spans="1:1" x14ac:dyDescent="0.25">
      <c r="A603" s="87"/>
    </row>
    <row r="604" spans="1:1" x14ac:dyDescent="0.25">
      <c r="A604" s="87"/>
    </row>
    <row r="605" spans="1:1" x14ac:dyDescent="0.25">
      <c r="A605" s="87"/>
    </row>
    <row r="606" spans="1:1" x14ac:dyDescent="0.25">
      <c r="A606" s="87"/>
    </row>
    <row r="607" spans="1:1" x14ac:dyDescent="0.25">
      <c r="A607" s="87"/>
    </row>
    <row r="608" spans="1:1" x14ac:dyDescent="0.25">
      <c r="A608" s="87"/>
    </row>
    <row r="609" spans="1:1" x14ac:dyDescent="0.25">
      <c r="A609" s="87"/>
    </row>
    <row r="610" spans="1:1" x14ac:dyDescent="0.25">
      <c r="A610" s="87"/>
    </row>
    <row r="611" spans="1:1" x14ac:dyDescent="0.25">
      <c r="A611" s="87"/>
    </row>
    <row r="612" spans="1:1" x14ac:dyDescent="0.25">
      <c r="A612" s="87"/>
    </row>
    <row r="613" spans="1:1" x14ac:dyDescent="0.25">
      <c r="A613" s="87"/>
    </row>
    <row r="614" spans="1:1" x14ac:dyDescent="0.25">
      <c r="A614" s="87"/>
    </row>
    <row r="615" spans="1:1" x14ac:dyDescent="0.25">
      <c r="A615" s="87"/>
    </row>
    <row r="616" spans="1:1" x14ac:dyDescent="0.25">
      <c r="A616" s="87"/>
    </row>
    <row r="617" spans="1:1" x14ac:dyDescent="0.25">
      <c r="A617" s="87"/>
    </row>
    <row r="618" spans="1:1" x14ac:dyDescent="0.25">
      <c r="A618" s="87"/>
    </row>
    <row r="619" spans="1:1" x14ac:dyDescent="0.25">
      <c r="A619" s="87"/>
    </row>
    <row r="620" spans="1:1" x14ac:dyDescent="0.25">
      <c r="A620" s="87"/>
    </row>
    <row r="621" spans="1:1" x14ac:dyDescent="0.25">
      <c r="A621" s="87"/>
    </row>
    <row r="622" spans="1:1" x14ac:dyDescent="0.25">
      <c r="A622" s="87"/>
    </row>
    <row r="623" spans="1:1" x14ac:dyDescent="0.25">
      <c r="A623" s="87"/>
    </row>
    <row r="624" spans="1:1" x14ac:dyDescent="0.25">
      <c r="A624" s="87"/>
    </row>
    <row r="625" spans="1:1" x14ac:dyDescent="0.25">
      <c r="A625" s="87"/>
    </row>
    <row r="626" spans="1:1" x14ac:dyDescent="0.25">
      <c r="A626" s="87"/>
    </row>
    <row r="627" spans="1:1" x14ac:dyDescent="0.25">
      <c r="A627" s="87"/>
    </row>
    <row r="628" spans="1:1" x14ac:dyDescent="0.25">
      <c r="A628" s="87"/>
    </row>
    <row r="629" spans="1:1" x14ac:dyDescent="0.25">
      <c r="A629" s="87"/>
    </row>
    <row r="630" spans="1:1" x14ac:dyDescent="0.25">
      <c r="A630" s="87"/>
    </row>
    <row r="631" spans="1:1" x14ac:dyDescent="0.25">
      <c r="A631" s="87"/>
    </row>
    <row r="632" spans="1:1" x14ac:dyDescent="0.25">
      <c r="A632" s="87"/>
    </row>
    <row r="633" spans="1:1" x14ac:dyDescent="0.25">
      <c r="A633" s="87"/>
    </row>
    <row r="634" spans="1:1" x14ac:dyDescent="0.25">
      <c r="A634" s="87"/>
    </row>
    <row r="635" spans="1:1" x14ac:dyDescent="0.25">
      <c r="A635" s="87"/>
    </row>
    <row r="636" spans="1:1" x14ac:dyDescent="0.25">
      <c r="A636" s="87"/>
    </row>
    <row r="637" spans="1:1" x14ac:dyDescent="0.25">
      <c r="A637" s="87"/>
    </row>
    <row r="638" spans="1:1" x14ac:dyDescent="0.25">
      <c r="A638" s="87"/>
    </row>
    <row r="639" spans="1:1" x14ac:dyDescent="0.25">
      <c r="A639" s="87"/>
    </row>
    <row r="640" spans="1:1" x14ac:dyDescent="0.25">
      <c r="A640" s="87"/>
    </row>
    <row r="641" spans="1:1" x14ac:dyDescent="0.25">
      <c r="A641" s="87"/>
    </row>
    <row r="642" spans="1:1" x14ac:dyDescent="0.25">
      <c r="A642" s="87"/>
    </row>
    <row r="643" spans="1:1" x14ac:dyDescent="0.25">
      <c r="A643" s="87"/>
    </row>
    <row r="644" spans="1:1" x14ac:dyDescent="0.25">
      <c r="A644" s="87"/>
    </row>
    <row r="645" spans="1:1" x14ac:dyDescent="0.25">
      <c r="A645" s="87"/>
    </row>
    <row r="646" spans="1:1" x14ac:dyDescent="0.25">
      <c r="A646" s="87"/>
    </row>
    <row r="647" spans="1:1" x14ac:dyDescent="0.25">
      <c r="A647" s="87"/>
    </row>
    <row r="648" spans="1:1" x14ac:dyDescent="0.25">
      <c r="A648" s="87"/>
    </row>
    <row r="649" spans="1:1" x14ac:dyDescent="0.25">
      <c r="A649" s="87"/>
    </row>
    <row r="650" spans="1:1" x14ac:dyDescent="0.25">
      <c r="A650" s="87"/>
    </row>
    <row r="651" spans="1:1" x14ac:dyDescent="0.25">
      <c r="A651" s="87"/>
    </row>
    <row r="652" spans="1:1" x14ac:dyDescent="0.25">
      <c r="A652" s="87"/>
    </row>
    <row r="653" spans="1:1" x14ac:dyDescent="0.25">
      <c r="A653" s="87"/>
    </row>
    <row r="654" spans="1:1" x14ac:dyDescent="0.25">
      <c r="A654" s="87"/>
    </row>
    <row r="655" spans="1:1" x14ac:dyDescent="0.25">
      <c r="A655" s="87"/>
    </row>
    <row r="656" spans="1:1" x14ac:dyDescent="0.25">
      <c r="A656" s="87"/>
    </row>
    <row r="657" spans="1:1" x14ac:dyDescent="0.25">
      <c r="A657" s="87"/>
    </row>
    <row r="658" spans="1:1" x14ac:dyDescent="0.25">
      <c r="A658" s="87"/>
    </row>
    <row r="659" spans="1:1" x14ac:dyDescent="0.25">
      <c r="A659" s="87"/>
    </row>
    <row r="660" spans="1:1" x14ac:dyDescent="0.25">
      <c r="A660" s="87"/>
    </row>
    <row r="661" spans="1:1" x14ac:dyDescent="0.25">
      <c r="A661" s="87"/>
    </row>
    <row r="662" spans="1:1" x14ac:dyDescent="0.25">
      <c r="A662" s="87"/>
    </row>
    <row r="663" spans="1:1" x14ac:dyDescent="0.25">
      <c r="A663" s="87"/>
    </row>
    <row r="664" spans="1:1" x14ac:dyDescent="0.25">
      <c r="A664" s="87"/>
    </row>
    <row r="665" spans="1:1" x14ac:dyDescent="0.25">
      <c r="A665" s="87"/>
    </row>
    <row r="666" spans="1:1" x14ac:dyDescent="0.25">
      <c r="A666" s="87"/>
    </row>
    <row r="667" spans="1:1" x14ac:dyDescent="0.25">
      <c r="A667" s="87"/>
    </row>
    <row r="668" spans="1:1" x14ac:dyDescent="0.25">
      <c r="A668" s="87"/>
    </row>
    <row r="669" spans="1:1" x14ac:dyDescent="0.25">
      <c r="A669" s="87"/>
    </row>
    <row r="670" spans="1:1" x14ac:dyDescent="0.25">
      <c r="A670" s="87"/>
    </row>
    <row r="671" spans="1:1" x14ac:dyDescent="0.25">
      <c r="A671" s="87"/>
    </row>
    <row r="672" spans="1:1" x14ac:dyDescent="0.25">
      <c r="A672" s="87"/>
    </row>
    <row r="673" spans="1:1" x14ac:dyDescent="0.25">
      <c r="A673" s="87"/>
    </row>
    <row r="674" spans="1:1" x14ac:dyDescent="0.25">
      <c r="A674" s="87"/>
    </row>
    <row r="675" spans="1:1" x14ac:dyDescent="0.25">
      <c r="A675" s="87"/>
    </row>
    <row r="676" spans="1:1" x14ac:dyDescent="0.25">
      <c r="A676" s="87"/>
    </row>
    <row r="677" spans="1:1" x14ac:dyDescent="0.25">
      <c r="A677" s="87"/>
    </row>
    <row r="678" spans="1:1" x14ac:dyDescent="0.25">
      <c r="A678" s="87"/>
    </row>
    <row r="679" spans="1:1" x14ac:dyDescent="0.25">
      <c r="A679" s="87"/>
    </row>
    <row r="680" spans="1:1" x14ac:dyDescent="0.25">
      <c r="A680" s="87"/>
    </row>
    <row r="681" spans="1:1" x14ac:dyDescent="0.25">
      <c r="A681" s="87"/>
    </row>
    <row r="682" spans="1:1" x14ac:dyDescent="0.25">
      <c r="A682" s="87"/>
    </row>
    <row r="683" spans="1:1" x14ac:dyDescent="0.25">
      <c r="A683" s="87"/>
    </row>
    <row r="684" spans="1:1" x14ac:dyDescent="0.25">
      <c r="A684" s="87"/>
    </row>
    <row r="685" spans="1:1" x14ac:dyDescent="0.25">
      <c r="A685" s="87"/>
    </row>
    <row r="686" spans="1:1" x14ac:dyDescent="0.25">
      <c r="A686" s="87"/>
    </row>
    <row r="687" spans="1:1" x14ac:dyDescent="0.25">
      <c r="A687" s="87"/>
    </row>
    <row r="688" spans="1:1" x14ac:dyDescent="0.25">
      <c r="A688" s="87"/>
    </row>
    <row r="689" spans="1:1" x14ac:dyDescent="0.25">
      <c r="A689" s="87"/>
    </row>
    <row r="690" spans="1:1" x14ac:dyDescent="0.25">
      <c r="A690" s="87"/>
    </row>
    <row r="691" spans="1:1" x14ac:dyDescent="0.25">
      <c r="A691" s="87"/>
    </row>
    <row r="692" spans="1:1" x14ac:dyDescent="0.25">
      <c r="A692" s="87"/>
    </row>
    <row r="693" spans="1:1" x14ac:dyDescent="0.25">
      <c r="A693" s="87"/>
    </row>
    <row r="694" spans="1:1" x14ac:dyDescent="0.25">
      <c r="A694" s="87"/>
    </row>
    <row r="695" spans="1:1" x14ac:dyDescent="0.25">
      <c r="A695" s="87"/>
    </row>
    <row r="696" spans="1:1" x14ac:dyDescent="0.25">
      <c r="A696" s="87"/>
    </row>
    <row r="697" spans="1:1" x14ac:dyDescent="0.25">
      <c r="A697" s="87"/>
    </row>
    <row r="698" spans="1:1" x14ac:dyDescent="0.25">
      <c r="A698" s="87"/>
    </row>
    <row r="699" spans="1:1" x14ac:dyDescent="0.25">
      <c r="A699" s="87"/>
    </row>
    <row r="700" spans="1:1" x14ac:dyDescent="0.25">
      <c r="A700" s="87"/>
    </row>
    <row r="701" spans="1:1" x14ac:dyDescent="0.25">
      <c r="A701" s="87"/>
    </row>
    <row r="702" spans="1:1" x14ac:dyDescent="0.25">
      <c r="A702" s="87"/>
    </row>
    <row r="703" spans="1:1" x14ac:dyDescent="0.25">
      <c r="A703" s="87"/>
    </row>
    <row r="704" spans="1:1" x14ac:dyDescent="0.25">
      <c r="A704" s="87"/>
    </row>
    <row r="705" spans="1:1" x14ac:dyDescent="0.25">
      <c r="A705" s="87"/>
    </row>
    <row r="706" spans="1:1" x14ac:dyDescent="0.25">
      <c r="A706" s="87"/>
    </row>
    <row r="707" spans="1:1" x14ac:dyDescent="0.25">
      <c r="A707" s="87"/>
    </row>
    <row r="708" spans="1:1" x14ac:dyDescent="0.25">
      <c r="A708" s="87"/>
    </row>
    <row r="709" spans="1:1" x14ac:dyDescent="0.25">
      <c r="A709" s="87"/>
    </row>
    <row r="710" spans="1:1" x14ac:dyDescent="0.25">
      <c r="A710" s="87"/>
    </row>
    <row r="711" spans="1:1" x14ac:dyDescent="0.25">
      <c r="A711" s="87"/>
    </row>
    <row r="712" spans="1:1" x14ac:dyDescent="0.25">
      <c r="A712" s="87"/>
    </row>
    <row r="713" spans="1:1" x14ac:dyDescent="0.25">
      <c r="A713" s="87"/>
    </row>
    <row r="714" spans="1:1" x14ac:dyDescent="0.25">
      <c r="A714" s="87"/>
    </row>
    <row r="715" spans="1:1" x14ac:dyDescent="0.25">
      <c r="A715" s="87"/>
    </row>
    <row r="716" spans="1:1" x14ac:dyDescent="0.25">
      <c r="A716" s="87"/>
    </row>
    <row r="717" spans="1:1" x14ac:dyDescent="0.25">
      <c r="A717" s="87"/>
    </row>
    <row r="718" spans="1:1" x14ac:dyDescent="0.25">
      <c r="A718" s="87"/>
    </row>
    <row r="719" spans="1:1" x14ac:dyDescent="0.25">
      <c r="A719" s="87"/>
    </row>
    <row r="720" spans="1:1" x14ac:dyDescent="0.25">
      <c r="A720" s="87"/>
    </row>
    <row r="721" spans="1:1" x14ac:dyDescent="0.25">
      <c r="A721" s="87"/>
    </row>
    <row r="722" spans="1:1" x14ac:dyDescent="0.25">
      <c r="A722" s="87"/>
    </row>
    <row r="723" spans="1:1" x14ac:dyDescent="0.25">
      <c r="A723" s="87"/>
    </row>
    <row r="724" spans="1:1" x14ac:dyDescent="0.25">
      <c r="A724" s="87"/>
    </row>
    <row r="725" spans="1:1" x14ac:dyDescent="0.25">
      <c r="A725" s="87"/>
    </row>
    <row r="726" spans="1:1" x14ac:dyDescent="0.25">
      <c r="A726" s="87"/>
    </row>
    <row r="727" spans="1:1" x14ac:dyDescent="0.25">
      <c r="A727" s="87"/>
    </row>
    <row r="728" spans="1:1" x14ac:dyDescent="0.25">
      <c r="A728" s="87"/>
    </row>
    <row r="729" spans="1:1" x14ac:dyDescent="0.25">
      <c r="A729" s="87"/>
    </row>
    <row r="730" spans="1:1" x14ac:dyDescent="0.25">
      <c r="A730" s="87"/>
    </row>
    <row r="731" spans="1:1" x14ac:dyDescent="0.25">
      <c r="A731" s="87"/>
    </row>
    <row r="732" spans="1:1" x14ac:dyDescent="0.25">
      <c r="A732" s="87"/>
    </row>
    <row r="733" spans="1:1" x14ac:dyDescent="0.25">
      <c r="A733" s="87"/>
    </row>
    <row r="734" spans="1:1" x14ac:dyDescent="0.25">
      <c r="A734" s="87"/>
    </row>
    <row r="735" spans="1:1" x14ac:dyDescent="0.25">
      <c r="A735" s="87"/>
    </row>
    <row r="736" spans="1:1" x14ac:dyDescent="0.25">
      <c r="A736" s="87"/>
    </row>
    <row r="737" spans="1:1" x14ac:dyDescent="0.25">
      <c r="A737" s="87"/>
    </row>
    <row r="738" spans="1:1" x14ac:dyDescent="0.25">
      <c r="A738" s="87"/>
    </row>
    <row r="739" spans="1:1" x14ac:dyDescent="0.25">
      <c r="A739" s="87"/>
    </row>
    <row r="740" spans="1:1" x14ac:dyDescent="0.25">
      <c r="A740" s="87"/>
    </row>
    <row r="741" spans="1:1" x14ac:dyDescent="0.25">
      <c r="A741" s="87"/>
    </row>
    <row r="742" spans="1:1" x14ac:dyDescent="0.25">
      <c r="A742" s="87"/>
    </row>
    <row r="743" spans="1:1" x14ac:dyDescent="0.25">
      <c r="A743" s="87"/>
    </row>
    <row r="744" spans="1:1" x14ac:dyDescent="0.25">
      <c r="A744" s="87"/>
    </row>
    <row r="745" spans="1:1" x14ac:dyDescent="0.25">
      <c r="A745" s="87"/>
    </row>
    <row r="746" spans="1:1" x14ac:dyDescent="0.25">
      <c r="A746" s="87"/>
    </row>
    <row r="747" spans="1:1" x14ac:dyDescent="0.25">
      <c r="A747" s="87"/>
    </row>
    <row r="748" spans="1:1" x14ac:dyDescent="0.25">
      <c r="A748" s="87"/>
    </row>
    <row r="749" spans="1:1" x14ac:dyDescent="0.25">
      <c r="A749" s="87"/>
    </row>
    <row r="750" spans="1:1" x14ac:dyDescent="0.25">
      <c r="A750" s="87"/>
    </row>
    <row r="751" spans="1:1" x14ac:dyDescent="0.25">
      <c r="A751" s="87"/>
    </row>
    <row r="752" spans="1:1" x14ac:dyDescent="0.25">
      <c r="A752" s="87"/>
    </row>
    <row r="753" spans="1:1" x14ac:dyDescent="0.25">
      <c r="A753" s="87"/>
    </row>
    <row r="754" spans="1:1" x14ac:dyDescent="0.25">
      <c r="A754" s="87"/>
    </row>
    <row r="755" spans="1:1" x14ac:dyDescent="0.25">
      <c r="A755" s="87"/>
    </row>
    <row r="756" spans="1:1" x14ac:dyDescent="0.25">
      <c r="A756" s="87"/>
    </row>
    <row r="757" spans="1:1" x14ac:dyDescent="0.25">
      <c r="A757" s="87"/>
    </row>
    <row r="758" spans="1:1" x14ac:dyDescent="0.25">
      <c r="A758" s="87"/>
    </row>
    <row r="759" spans="1:1" x14ac:dyDescent="0.25">
      <c r="A759" s="87"/>
    </row>
    <row r="760" spans="1:1" x14ac:dyDescent="0.25">
      <c r="A760" s="87"/>
    </row>
    <row r="761" spans="1:1" x14ac:dyDescent="0.25">
      <c r="A761" s="87"/>
    </row>
    <row r="762" spans="1:1" x14ac:dyDescent="0.25">
      <c r="A762" s="87"/>
    </row>
    <row r="763" spans="1:1" x14ac:dyDescent="0.25">
      <c r="A763" s="87"/>
    </row>
    <row r="764" spans="1:1" x14ac:dyDescent="0.25">
      <c r="A764" s="87"/>
    </row>
    <row r="765" spans="1:1" x14ac:dyDescent="0.25">
      <c r="A765" s="87"/>
    </row>
    <row r="766" spans="1:1" x14ac:dyDescent="0.25">
      <c r="A766" s="87"/>
    </row>
    <row r="767" spans="1:1" x14ac:dyDescent="0.25">
      <c r="A767" s="87"/>
    </row>
    <row r="768" spans="1:1" x14ac:dyDescent="0.25">
      <c r="A768" s="87"/>
    </row>
    <row r="769" spans="1:1" x14ac:dyDescent="0.25">
      <c r="A769" s="87"/>
    </row>
    <row r="770" spans="1:1" x14ac:dyDescent="0.25">
      <c r="A770" s="87"/>
    </row>
    <row r="771" spans="1:1" x14ac:dyDescent="0.25">
      <c r="A771" s="87"/>
    </row>
    <row r="772" spans="1:1" x14ac:dyDescent="0.25">
      <c r="A772" s="87"/>
    </row>
    <row r="773" spans="1:1" x14ac:dyDescent="0.25">
      <c r="A773" s="87"/>
    </row>
    <row r="774" spans="1:1" x14ac:dyDescent="0.25">
      <c r="A774" s="87"/>
    </row>
    <row r="775" spans="1:1" x14ac:dyDescent="0.25">
      <c r="A775" s="87"/>
    </row>
    <row r="776" spans="1:1" x14ac:dyDescent="0.25">
      <c r="A776" s="87"/>
    </row>
    <row r="777" spans="1:1" x14ac:dyDescent="0.25">
      <c r="A777" s="87"/>
    </row>
    <row r="778" spans="1:1" x14ac:dyDescent="0.25">
      <c r="A778" s="87"/>
    </row>
    <row r="779" spans="1:1" x14ac:dyDescent="0.25">
      <c r="A779" s="87"/>
    </row>
    <row r="780" spans="1:1" x14ac:dyDescent="0.25">
      <c r="A780" s="87"/>
    </row>
    <row r="781" spans="1:1" x14ac:dyDescent="0.25">
      <c r="A781" s="87"/>
    </row>
    <row r="782" spans="1:1" x14ac:dyDescent="0.25">
      <c r="A782" s="87"/>
    </row>
    <row r="783" spans="1:1" x14ac:dyDescent="0.25">
      <c r="A783" s="87"/>
    </row>
    <row r="784" spans="1:1" x14ac:dyDescent="0.25">
      <c r="A784" s="87"/>
    </row>
    <row r="785" spans="1:1" x14ac:dyDescent="0.25">
      <c r="A785" s="87"/>
    </row>
    <row r="786" spans="1:1" x14ac:dyDescent="0.25">
      <c r="A786" s="87"/>
    </row>
    <row r="787" spans="1:1" x14ac:dyDescent="0.25">
      <c r="A787" s="87"/>
    </row>
    <row r="788" spans="1:1" x14ac:dyDescent="0.25">
      <c r="A788" s="87"/>
    </row>
    <row r="789" spans="1:1" x14ac:dyDescent="0.25">
      <c r="A789" s="87"/>
    </row>
    <row r="790" spans="1:1" x14ac:dyDescent="0.25">
      <c r="A790" s="87"/>
    </row>
    <row r="791" spans="1:1" x14ac:dyDescent="0.25">
      <c r="A791" s="87"/>
    </row>
    <row r="792" spans="1:1" x14ac:dyDescent="0.25">
      <c r="A792" s="87"/>
    </row>
    <row r="793" spans="1:1" x14ac:dyDescent="0.25">
      <c r="A793" s="87"/>
    </row>
    <row r="794" spans="1:1" x14ac:dyDescent="0.25">
      <c r="A794" s="87"/>
    </row>
    <row r="795" spans="1:1" x14ac:dyDescent="0.25">
      <c r="A795" s="87"/>
    </row>
    <row r="796" spans="1:1" x14ac:dyDescent="0.25">
      <c r="A796" s="87"/>
    </row>
    <row r="797" spans="1:1" x14ac:dyDescent="0.25">
      <c r="A797" s="87"/>
    </row>
    <row r="798" spans="1:1" x14ac:dyDescent="0.25">
      <c r="A798" s="87"/>
    </row>
    <row r="799" spans="1:1" x14ac:dyDescent="0.25">
      <c r="A799" s="87"/>
    </row>
    <row r="800" spans="1:1" x14ac:dyDescent="0.25">
      <c r="A800" s="87"/>
    </row>
    <row r="801" spans="1:1" x14ac:dyDescent="0.25">
      <c r="A801" s="87"/>
    </row>
    <row r="802" spans="1:1" x14ac:dyDescent="0.25">
      <c r="A802" s="87"/>
    </row>
    <row r="803" spans="1:1" x14ac:dyDescent="0.25">
      <c r="A803" s="87"/>
    </row>
    <row r="804" spans="1:1" x14ac:dyDescent="0.25">
      <c r="A804" s="87"/>
    </row>
    <row r="805" spans="1:1" x14ac:dyDescent="0.25">
      <c r="A805" s="87"/>
    </row>
    <row r="806" spans="1:1" x14ac:dyDescent="0.25">
      <c r="A806" s="87"/>
    </row>
    <row r="807" spans="1:1" x14ac:dyDescent="0.25">
      <c r="A807" s="87"/>
    </row>
    <row r="808" spans="1:1" x14ac:dyDescent="0.25">
      <c r="A808" s="87"/>
    </row>
    <row r="809" spans="1:1" x14ac:dyDescent="0.25">
      <c r="A809" s="87"/>
    </row>
    <row r="810" spans="1:1" x14ac:dyDescent="0.25">
      <c r="A810" s="87"/>
    </row>
    <row r="811" spans="1:1" x14ac:dyDescent="0.25">
      <c r="A811" s="87"/>
    </row>
    <row r="812" spans="1:1" x14ac:dyDescent="0.25">
      <c r="A812" s="87"/>
    </row>
    <row r="813" spans="1:1" x14ac:dyDescent="0.25">
      <c r="A813" s="87"/>
    </row>
    <row r="814" spans="1:1" x14ac:dyDescent="0.25">
      <c r="A814" s="87"/>
    </row>
    <row r="815" spans="1:1" x14ac:dyDescent="0.25">
      <c r="A815" s="87"/>
    </row>
    <row r="816" spans="1:1" x14ac:dyDescent="0.25">
      <c r="A816" s="87"/>
    </row>
    <row r="817" spans="1:1" x14ac:dyDescent="0.25">
      <c r="A817" s="87"/>
    </row>
    <row r="818" spans="1:1" x14ac:dyDescent="0.25">
      <c r="A818" s="87"/>
    </row>
    <row r="819" spans="1:1" x14ac:dyDescent="0.25">
      <c r="A819" s="87"/>
    </row>
    <row r="820" spans="1:1" x14ac:dyDescent="0.25">
      <c r="A820" s="87"/>
    </row>
    <row r="821" spans="1:1" x14ac:dyDescent="0.25">
      <c r="A821" s="87"/>
    </row>
    <row r="822" spans="1:1" x14ac:dyDescent="0.25">
      <c r="A822" s="87"/>
    </row>
    <row r="823" spans="1:1" x14ac:dyDescent="0.25">
      <c r="A823" s="87"/>
    </row>
    <row r="824" spans="1:1" x14ac:dyDescent="0.25">
      <c r="A824" s="87"/>
    </row>
    <row r="825" spans="1:1" x14ac:dyDescent="0.25">
      <c r="A825" s="87"/>
    </row>
    <row r="826" spans="1:1" x14ac:dyDescent="0.25">
      <c r="A826" s="87"/>
    </row>
    <row r="827" spans="1:1" x14ac:dyDescent="0.25">
      <c r="A827" s="87"/>
    </row>
    <row r="828" spans="1:1" x14ac:dyDescent="0.25">
      <c r="A828" s="87"/>
    </row>
    <row r="829" spans="1:1" x14ac:dyDescent="0.25">
      <c r="A829" s="87"/>
    </row>
    <row r="830" spans="1:1" x14ac:dyDescent="0.25">
      <c r="A830" s="87"/>
    </row>
    <row r="831" spans="1:1" x14ac:dyDescent="0.25">
      <c r="A831" s="87"/>
    </row>
    <row r="832" spans="1:1" x14ac:dyDescent="0.25">
      <c r="A832" s="87"/>
    </row>
    <row r="833" spans="1:1" x14ac:dyDescent="0.25">
      <c r="A833" s="87"/>
    </row>
    <row r="834" spans="1:1" x14ac:dyDescent="0.25">
      <c r="A834" s="87"/>
    </row>
    <row r="835" spans="1:1" x14ac:dyDescent="0.25">
      <c r="A835" s="87"/>
    </row>
    <row r="836" spans="1:1" x14ac:dyDescent="0.25">
      <c r="A836" s="87"/>
    </row>
    <row r="837" spans="1:1" x14ac:dyDescent="0.25">
      <c r="A837" s="87"/>
    </row>
    <row r="838" spans="1:1" x14ac:dyDescent="0.25">
      <c r="A838" s="87"/>
    </row>
    <row r="839" spans="1:1" x14ac:dyDescent="0.25">
      <c r="A839" s="87"/>
    </row>
    <row r="840" spans="1:1" x14ac:dyDescent="0.25">
      <c r="A840" s="87"/>
    </row>
    <row r="841" spans="1:1" x14ac:dyDescent="0.25">
      <c r="A841" s="87"/>
    </row>
    <row r="842" spans="1:1" x14ac:dyDescent="0.25">
      <c r="A842" s="87"/>
    </row>
    <row r="843" spans="1:1" x14ac:dyDescent="0.25">
      <c r="A843" s="87"/>
    </row>
    <row r="844" spans="1:1" x14ac:dyDescent="0.25">
      <c r="A844" s="87"/>
    </row>
    <row r="845" spans="1:1" x14ac:dyDescent="0.25">
      <c r="A845" s="87"/>
    </row>
    <row r="846" spans="1:1" x14ac:dyDescent="0.25">
      <c r="A846" s="87"/>
    </row>
    <row r="847" spans="1:1" x14ac:dyDescent="0.25">
      <c r="A847" s="87"/>
    </row>
    <row r="848" spans="1:1" x14ac:dyDescent="0.25">
      <c r="A848" s="87"/>
    </row>
    <row r="849" spans="1:1" x14ac:dyDescent="0.25">
      <c r="A849" s="87"/>
    </row>
    <row r="850" spans="1:1" x14ac:dyDescent="0.25">
      <c r="A850" s="87"/>
    </row>
    <row r="851" spans="1:1" x14ac:dyDescent="0.25">
      <c r="A851" s="87"/>
    </row>
    <row r="852" spans="1:1" x14ac:dyDescent="0.25">
      <c r="A852" s="87"/>
    </row>
    <row r="853" spans="1:1" x14ac:dyDescent="0.25">
      <c r="A853" s="87"/>
    </row>
    <row r="854" spans="1:1" x14ac:dyDescent="0.25">
      <c r="A854" s="87"/>
    </row>
    <row r="855" spans="1:1" x14ac:dyDescent="0.25">
      <c r="A855" s="87"/>
    </row>
    <row r="856" spans="1:1" x14ac:dyDescent="0.25">
      <c r="A856" s="87"/>
    </row>
    <row r="857" spans="1:1" x14ac:dyDescent="0.25">
      <c r="A857" s="87"/>
    </row>
    <row r="858" spans="1:1" x14ac:dyDescent="0.25">
      <c r="A858" s="87"/>
    </row>
    <row r="859" spans="1:1" x14ac:dyDescent="0.25">
      <c r="A859" s="87"/>
    </row>
    <row r="860" spans="1:1" x14ac:dyDescent="0.25">
      <c r="A860" s="87"/>
    </row>
    <row r="861" spans="1:1" x14ac:dyDescent="0.25">
      <c r="A861" s="87"/>
    </row>
    <row r="862" spans="1:1" x14ac:dyDescent="0.25">
      <c r="A862" s="87"/>
    </row>
    <row r="863" spans="1:1" x14ac:dyDescent="0.25">
      <c r="A863" s="87"/>
    </row>
    <row r="864" spans="1:1" x14ac:dyDescent="0.25">
      <c r="A864" s="87"/>
    </row>
    <row r="865" spans="1:1" x14ac:dyDescent="0.25">
      <c r="A865" s="87"/>
    </row>
    <row r="866" spans="1:1" x14ac:dyDescent="0.25">
      <c r="A866" s="87"/>
    </row>
    <row r="867" spans="1:1" x14ac:dyDescent="0.25">
      <c r="A867" s="87"/>
    </row>
    <row r="868" spans="1:1" x14ac:dyDescent="0.25">
      <c r="A868" s="87"/>
    </row>
    <row r="869" spans="1:1" x14ac:dyDescent="0.25">
      <c r="A869" s="87"/>
    </row>
    <row r="870" spans="1:1" x14ac:dyDescent="0.25">
      <c r="A870" s="87"/>
    </row>
    <row r="871" spans="1:1" x14ac:dyDescent="0.25">
      <c r="A871" s="87"/>
    </row>
    <row r="872" spans="1:1" x14ac:dyDescent="0.25">
      <c r="A872" s="87"/>
    </row>
    <row r="873" spans="1:1" x14ac:dyDescent="0.25">
      <c r="A873" s="87"/>
    </row>
    <row r="874" spans="1:1" x14ac:dyDescent="0.25">
      <c r="A874" s="87"/>
    </row>
    <row r="875" spans="1:1" x14ac:dyDescent="0.25">
      <c r="A875" s="87"/>
    </row>
    <row r="876" spans="1:1" x14ac:dyDescent="0.25">
      <c r="A876" s="87"/>
    </row>
    <row r="877" spans="1:1" x14ac:dyDescent="0.25">
      <c r="A877" s="87"/>
    </row>
    <row r="878" spans="1:1" x14ac:dyDescent="0.25">
      <c r="A878" s="87"/>
    </row>
    <row r="879" spans="1:1" x14ac:dyDescent="0.25">
      <c r="A879" s="87"/>
    </row>
    <row r="880" spans="1:1" x14ac:dyDescent="0.25">
      <c r="A880" s="87"/>
    </row>
    <row r="881" spans="1:1" x14ac:dyDescent="0.25">
      <c r="A881" s="87"/>
    </row>
    <row r="882" spans="1:1" x14ac:dyDescent="0.25">
      <c r="A882" s="87"/>
    </row>
    <row r="883" spans="1:1" x14ac:dyDescent="0.25">
      <c r="A883" s="87"/>
    </row>
    <row r="884" spans="1:1" x14ac:dyDescent="0.25">
      <c r="A884" s="87"/>
    </row>
    <row r="885" spans="1:1" x14ac:dyDescent="0.25">
      <c r="A885" s="87"/>
    </row>
    <row r="886" spans="1:1" x14ac:dyDescent="0.25">
      <c r="A886" s="87"/>
    </row>
    <row r="887" spans="1:1" x14ac:dyDescent="0.25">
      <c r="A887" s="87"/>
    </row>
    <row r="888" spans="1:1" x14ac:dyDescent="0.25">
      <c r="A888" s="87"/>
    </row>
    <row r="889" spans="1:1" x14ac:dyDescent="0.25">
      <c r="A889" s="87"/>
    </row>
    <row r="890" spans="1:1" x14ac:dyDescent="0.25">
      <c r="A890" s="87"/>
    </row>
    <row r="891" spans="1:1" x14ac:dyDescent="0.25">
      <c r="A891" s="87"/>
    </row>
    <row r="892" spans="1:1" x14ac:dyDescent="0.25">
      <c r="A892" s="87"/>
    </row>
    <row r="893" spans="1:1" x14ac:dyDescent="0.25">
      <c r="A893" s="87"/>
    </row>
    <row r="894" spans="1:1" x14ac:dyDescent="0.25">
      <c r="A894" s="87"/>
    </row>
    <row r="895" spans="1:1" x14ac:dyDescent="0.25">
      <c r="A895" s="87"/>
    </row>
    <row r="896" spans="1:1" x14ac:dyDescent="0.25">
      <c r="A896" s="87"/>
    </row>
    <row r="897" spans="1:1" x14ac:dyDescent="0.25">
      <c r="A897" s="87"/>
    </row>
    <row r="898" spans="1:1" x14ac:dyDescent="0.25">
      <c r="A898" s="87"/>
    </row>
    <row r="899" spans="1:1" x14ac:dyDescent="0.25">
      <c r="A899" s="87"/>
    </row>
    <row r="900" spans="1:1" x14ac:dyDescent="0.25">
      <c r="A900" s="87"/>
    </row>
    <row r="901" spans="1:1" x14ac:dyDescent="0.25">
      <c r="A901" s="87"/>
    </row>
    <row r="902" spans="1:1" x14ac:dyDescent="0.25">
      <c r="A902" s="87"/>
    </row>
    <row r="903" spans="1:1" x14ac:dyDescent="0.25">
      <c r="A903" s="87"/>
    </row>
    <row r="904" spans="1:1" x14ac:dyDescent="0.25">
      <c r="A904" s="87"/>
    </row>
    <row r="905" spans="1:1" x14ac:dyDescent="0.25">
      <c r="A905" s="87"/>
    </row>
    <row r="906" spans="1:1" x14ac:dyDescent="0.25">
      <c r="A906" s="87"/>
    </row>
    <row r="907" spans="1:1" x14ac:dyDescent="0.25">
      <c r="A907" s="87"/>
    </row>
    <row r="908" spans="1:1" x14ac:dyDescent="0.25">
      <c r="A908" s="87"/>
    </row>
    <row r="909" spans="1:1" x14ac:dyDescent="0.25">
      <c r="A909" s="87"/>
    </row>
    <row r="910" spans="1:1" x14ac:dyDescent="0.25">
      <c r="A910" s="87"/>
    </row>
    <row r="911" spans="1:1" x14ac:dyDescent="0.25">
      <c r="A911" s="87"/>
    </row>
    <row r="912" spans="1:1" x14ac:dyDescent="0.25">
      <c r="A912" s="87"/>
    </row>
    <row r="913" spans="1:1" x14ac:dyDescent="0.25">
      <c r="A913" s="87"/>
    </row>
    <row r="914" spans="1:1" x14ac:dyDescent="0.25">
      <c r="A914" s="87"/>
    </row>
    <row r="915" spans="1:1" x14ac:dyDescent="0.25">
      <c r="A915" s="87"/>
    </row>
    <row r="916" spans="1:1" x14ac:dyDescent="0.25">
      <c r="A916" s="87"/>
    </row>
    <row r="917" spans="1:1" x14ac:dyDescent="0.25">
      <c r="A917" s="87"/>
    </row>
    <row r="918" spans="1:1" x14ac:dyDescent="0.25">
      <c r="A918" s="87"/>
    </row>
    <row r="919" spans="1:1" x14ac:dyDescent="0.25">
      <c r="A919" s="87"/>
    </row>
    <row r="920" spans="1:1" x14ac:dyDescent="0.25">
      <c r="A920" s="87"/>
    </row>
    <row r="921" spans="1:1" x14ac:dyDescent="0.25">
      <c r="A921" s="87"/>
    </row>
    <row r="922" spans="1:1" x14ac:dyDescent="0.25">
      <c r="A922" s="87"/>
    </row>
    <row r="923" spans="1:1" x14ac:dyDescent="0.25">
      <c r="A923" s="87"/>
    </row>
    <row r="924" spans="1:1" x14ac:dyDescent="0.25">
      <c r="A924" s="87"/>
    </row>
    <row r="925" spans="1:1" x14ac:dyDescent="0.25">
      <c r="A925" s="87"/>
    </row>
    <row r="926" spans="1:1" x14ac:dyDescent="0.25">
      <c r="A926" s="87"/>
    </row>
    <row r="927" spans="1:1" x14ac:dyDescent="0.25">
      <c r="A927" s="87"/>
    </row>
    <row r="928" spans="1:1" x14ac:dyDescent="0.25">
      <c r="A928" s="87"/>
    </row>
    <row r="929" spans="1:1" x14ac:dyDescent="0.25">
      <c r="A929" s="87"/>
    </row>
    <row r="930" spans="1:1" x14ac:dyDescent="0.25">
      <c r="A930" s="87"/>
    </row>
    <row r="931" spans="1:1" x14ac:dyDescent="0.25">
      <c r="A931" s="87"/>
    </row>
    <row r="932" spans="1:1" x14ac:dyDescent="0.25">
      <c r="A932" s="87"/>
    </row>
    <row r="933" spans="1:1" x14ac:dyDescent="0.25">
      <c r="A933" s="87"/>
    </row>
    <row r="934" spans="1:1" x14ac:dyDescent="0.25">
      <c r="A934" s="87"/>
    </row>
    <row r="935" spans="1:1" x14ac:dyDescent="0.25">
      <c r="A935" s="87"/>
    </row>
    <row r="936" spans="1:1" x14ac:dyDescent="0.25">
      <c r="A936" s="87"/>
    </row>
    <row r="937" spans="1:1" x14ac:dyDescent="0.25">
      <c r="A937" s="87"/>
    </row>
    <row r="938" spans="1:1" x14ac:dyDescent="0.25">
      <c r="A938" s="87"/>
    </row>
    <row r="939" spans="1:1" x14ac:dyDescent="0.25">
      <c r="A939" s="87"/>
    </row>
    <row r="940" spans="1:1" x14ac:dyDescent="0.25">
      <c r="A940" s="87"/>
    </row>
    <row r="941" spans="1:1" x14ac:dyDescent="0.25">
      <c r="A941" s="87"/>
    </row>
    <row r="942" spans="1:1" x14ac:dyDescent="0.25">
      <c r="A942" s="87"/>
    </row>
    <row r="943" spans="1:1" x14ac:dyDescent="0.25">
      <c r="A943" s="87"/>
    </row>
    <row r="944" spans="1:1" x14ac:dyDescent="0.25">
      <c r="A944" s="87"/>
    </row>
    <row r="945" spans="1:1" x14ac:dyDescent="0.25">
      <c r="A945" s="87"/>
    </row>
    <row r="946" spans="1:1" x14ac:dyDescent="0.25">
      <c r="A946" s="87"/>
    </row>
    <row r="947" spans="1:1" x14ac:dyDescent="0.25">
      <c r="A947" s="87"/>
    </row>
    <row r="948" spans="1:1" x14ac:dyDescent="0.25">
      <c r="A948" s="87"/>
    </row>
    <row r="949" spans="1:1" x14ac:dyDescent="0.25">
      <c r="A949" s="87"/>
    </row>
    <row r="950" spans="1:1" x14ac:dyDescent="0.25">
      <c r="A950" s="87"/>
    </row>
    <row r="951" spans="1:1" x14ac:dyDescent="0.25">
      <c r="A951" s="87"/>
    </row>
    <row r="952" spans="1:1" x14ac:dyDescent="0.25">
      <c r="A952" s="87"/>
    </row>
    <row r="953" spans="1:1" x14ac:dyDescent="0.25">
      <c r="A953" s="87"/>
    </row>
    <row r="954" spans="1:1" x14ac:dyDescent="0.25">
      <c r="A954" s="87"/>
    </row>
    <row r="955" spans="1:1" x14ac:dyDescent="0.25">
      <c r="A955" s="87"/>
    </row>
    <row r="956" spans="1:1" x14ac:dyDescent="0.25">
      <c r="A956" s="87"/>
    </row>
    <row r="957" spans="1:1" x14ac:dyDescent="0.25">
      <c r="A957" s="87"/>
    </row>
    <row r="958" spans="1:1" x14ac:dyDescent="0.25">
      <c r="A958" s="87"/>
    </row>
    <row r="959" spans="1:1" x14ac:dyDescent="0.25">
      <c r="A959" s="87"/>
    </row>
    <row r="960" spans="1:1" x14ac:dyDescent="0.25">
      <c r="A960" s="87"/>
    </row>
    <row r="961" spans="1:1" x14ac:dyDescent="0.25">
      <c r="A961" s="87"/>
    </row>
    <row r="962" spans="1:1" x14ac:dyDescent="0.25">
      <c r="A962" s="87"/>
    </row>
    <row r="963" spans="1:1" x14ac:dyDescent="0.25">
      <c r="A963" s="87"/>
    </row>
    <row r="964" spans="1:1" x14ac:dyDescent="0.25">
      <c r="A964" s="87"/>
    </row>
    <row r="965" spans="1:1" x14ac:dyDescent="0.25">
      <c r="A965" s="87"/>
    </row>
    <row r="966" spans="1:1" x14ac:dyDescent="0.25">
      <c r="A966" s="87"/>
    </row>
    <row r="967" spans="1:1" x14ac:dyDescent="0.25">
      <c r="A967" s="87"/>
    </row>
    <row r="968" spans="1:1" x14ac:dyDescent="0.25">
      <c r="A968" s="87"/>
    </row>
    <row r="969" spans="1:1" x14ac:dyDescent="0.25">
      <c r="A969" s="87"/>
    </row>
    <row r="970" spans="1:1" x14ac:dyDescent="0.25">
      <c r="A970" s="87"/>
    </row>
    <row r="971" spans="1:1" x14ac:dyDescent="0.25">
      <c r="A971" s="87"/>
    </row>
    <row r="972" spans="1:1" x14ac:dyDescent="0.25">
      <c r="A972" s="87"/>
    </row>
    <row r="973" spans="1:1" x14ac:dyDescent="0.25">
      <c r="A973" s="87"/>
    </row>
    <row r="974" spans="1:1" x14ac:dyDescent="0.25">
      <c r="A974" s="87"/>
    </row>
    <row r="975" spans="1:1" x14ac:dyDescent="0.25">
      <c r="A975" s="87"/>
    </row>
    <row r="976" spans="1:1" x14ac:dyDescent="0.25">
      <c r="A976" s="87"/>
    </row>
    <row r="977" spans="1:1" x14ac:dyDescent="0.25">
      <c r="A977" s="87"/>
    </row>
    <row r="978" spans="1:1" x14ac:dyDescent="0.25">
      <c r="A978" s="87"/>
    </row>
    <row r="979" spans="1:1" x14ac:dyDescent="0.25">
      <c r="A979" s="87"/>
    </row>
    <row r="980" spans="1:1" x14ac:dyDescent="0.25">
      <c r="A980" s="87"/>
    </row>
    <row r="981" spans="1:1" x14ac:dyDescent="0.25">
      <c r="A981" s="87"/>
    </row>
    <row r="982" spans="1:1" x14ac:dyDescent="0.25">
      <c r="A982" s="87"/>
    </row>
    <row r="983" spans="1:1" x14ac:dyDescent="0.25">
      <c r="A983" s="87"/>
    </row>
    <row r="984" spans="1:1" x14ac:dyDescent="0.25">
      <c r="A984" s="87"/>
    </row>
    <row r="985" spans="1:1" x14ac:dyDescent="0.25">
      <c r="A985" s="87"/>
    </row>
    <row r="986" spans="1:1" x14ac:dyDescent="0.25">
      <c r="A986" s="87"/>
    </row>
    <row r="987" spans="1:1" x14ac:dyDescent="0.25">
      <c r="A987" s="87"/>
    </row>
    <row r="988" spans="1:1" x14ac:dyDescent="0.25">
      <c r="A988" s="87"/>
    </row>
    <row r="989" spans="1:1" x14ac:dyDescent="0.25">
      <c r="A989" s="87"/>
    </row>
    <row r="990" spans="1:1" x14ac:dyDescent="0.25">
      <c r="A990" s="87"/>
    </row>
    <row r="991" spans="1:1" x14ac:dyDescent="0.25">
      <c r="A991" s="87"/>
    </row>
    <row r="992" spans="1:1" x14ac:dyDescent="0.25">
      <c r="A992" s="87"/>
    </row>
    <row r="993" spans="1:1" x14ac:dyDescent="0.25">
      <c r="A993" s="87"/>
    </row>
    <row r="994" spans="1:1" x14ac:dyDescent="0.25">
      <c r="A994" s="87"/>
    </row>
    <row r="995" spans="1:1" x14ac:dyDescent="0.25">
      <c r="A995" s="87"/>
    </row>
    <row r="996" spans="1:1" x14ac:dyDescent="0.25">
      <c r="A996" s="87"/>
    </row>
    <row r="997" spans="1:1" x14ac:dyDescent="0.25">
      <c r="A997" s="87"/>
    </row>
    <row r="998" spans="1:1" x14ac:dyDescent="0.25">
      <c r="A998" s="87"/>
    </row>
    <row r="999" spans="1:1" x14ac:dyDescent="0.25">
      <c r="A999" s="87"/>
    </row>
    <row r="1000" spans="1:1" x14ac:dyDescent="0.25">
      <c r="A1000" s="87"/>
    </row>
  </sheetData>
  <mergeCells count="18">
    <mergeCell ref="Q85:T86"/>
    <mergeCell ref="U85:V85"/>
    <mergeCell ref="W85:X86"/>
    <mergeCell ref="M86:N86"/>
    <mergeCell ref="O86:P86"/>
    <mergeCell ref="U86:V86"/>
    <mergeCell ref="O85:P85"/>
    <mergeCell ref="E28:G28"/>
    <mergeCell ref="B33:G33"/>
    <mergeCell ref="I85:I86"/>
    <mergeCell ref="J85:L86"/>
    <mergeCell ref="M85:N85"/>
    <mergeCell ref="B24:C24"/>
    <mergeCell ref="B2:G2"/>
    <mergeCell ref="B7:C7"/>
    <mergeCell ref="E7:G7"/>
    <mergeCell ref="B18:C18"/>
    <mergeCell ref="E18:G18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zoomScale="75" zoomScaleNormal="75" workbookViewId="0">
      <selection activeCell="F8" sqref="F8"/>
    </sheetView>
  </sheetViews>
  <sheetFormatPr baseColWidth="10" defaultColWidth="11.42578125" defaultRowHeight="14.25" x14ac:dyDescent="0.2"/>
  <cols>
    <col min="1" max="1" width="11.42578125" style="36"/>
    <col min="2" max="2" width="17.7109375" style="36" customWidth="1"/>
    <col min="3" max="16384" width="11.42578125" style="36"/>
  </cols>
  <sheetData>
    <row r="2" spans="2:12" x14ac:dyDescent="0.2">
      <c r="B2" s="76"/>
      <c r="C2" s="76"/>
      <c r="D2" s="76"/>
      <c r="E2" s="76"/>
      <c r="F2" s="76"/>
      <c r="G2" s="76"/>
      <c r="H2" s="76" t="s">
        <v>170</v>
      </c>
      <c r="I2" s="77">
        <f>'Data and Instruction'!C4</f>
        <v>146.13999999999999</v>
      </c>
      <c r="J2" s="76"/>
      <c r="K2" s="76"/>
      <c r="L2" s="76"/>
    </row>
    <row r="3" spans="2:12" x14ac:dyDescent="0.2">
      <c r="B3" s="76"/>
      <c r="C3" s="76"/>
      <c r="D3" s="76"/>
      <c r="E3" s="76"/>
      <c r="F3" s="76"/>
      <c r="G3" s="76"/>
      <c r="H3" s="76" t="s">
        <v>171</v>
      </c>
      <c r="I3" s="118">
        <f>'Data and Instruction'!C7</f>
        <v>0.93500000000000005</v>
      </c>
      <c r="J3" s="76"/>
      <c r="K3" s="76"/>
      <c r="L3" s="76"/>
    </row>
    <row r="4" spans="2:12" x14ac:dyDescent="0.2">
      <c r="B4" s="76"/>
      <c r="C4" s="76"/>
      <c r="D4" s="76"/>
      <c r="E4" s="76"/>
      <c r="F4" s="76"/>
      <c r="G4" s="76"/>
      <c r="H4" s="76"/>
      <c r="I4" s="78"/>
      <c r="J4" s="76"/>
      <c r="K4" s="76"/>
      <c r="L4" s="76"/>
    </row>
    <row r="5" spans="2:12" ht="15" x14ac:dyDescent="0.25">
      <c r="B5" s="79" t="s">
        <v>139</v>
      </c>
      <c r="C5" s="80" t="s">
        <v>172</v>
      </c>
      <c r="D5" s="80" t="s">
        <v>173</v>
      </c>
      <c r="E5" s="80" t="s">
        <v>174</v>
      </c>
      <c r="F5" s="80" t="s">
        <v>175</v>
      </c>
      <c r="G5" s="76"/>
      <c r="H5" s="81" t="s">
        <v>176</v>
      </c>
      <c r="I5" s="161"/>
      <c r="J5" s="76" t="s">
        <v>177</v>
      </c>
      <c r="K5" s="76"/>
      <c r="L5" s="76"/>
    </row>
    <row r="6" spans="2:12" x14ac:dyDescent="0.2">
      <c r="B6" s="82" t="s">
        <v>178</v>
      </c>
      <c r="C6" s="83">
        <v>420</v>
      </c>
      <c r="D6" s="83">
        <v>0</v>
      </c>
      <c r="E6" s="83">
        <v>0</v>
      </c>
      <c r="F6" s="161"/>
      <c r="G6" s="76"/>
      <c r="H6" s="76"/>
      <c r="I6" s="76"/>
      <c r="J6" s="76"/>
      <c r="K6" s="76"/>
      <c r="L6" s="76"/>
    </row>
    <row r="7" spans="2:12" ht="20.25" x14ac:dyDescent="0.3">
      <c r="B7" s="82" t="s">
        <v>179</v>
      </c>
      <c r="C7" s="83">
        <v>270</v>
      </c>
      <c r="D7" s="83">
        <v>0</v>
      </c>
      <c r="E7" s="83">
        <v>0</v>
      </c>
      <c r="F7" s="161"/>
      <c r="G7" s="76"/>
      <c r="H7" s="84" t="s">
        <v>180</v>
      </c>
      <c r="I7" s="85">
        <f>SUMPRODUCT(C6:C33,F6:F33)/IF(I5="",I2/I3,I5)</f>
        <v>12.859928835363352</v>
      </c>
      <c r="J7" s="76"/>
      <c r="K7" s="76"/>
      <c r="L7" s="76"/>
    </row>
    <row r="8" spans="2:12" ht="20.25" x14ac:dyDescent="0.3">
      <c r="B8" s="82" t="s">
        <v>181</v>
      </c>
      <c r="C8" s="83">
        <v>80</v>
      </c>
      <c r="D8" s="83">
        <v>0</v>
      </c>
      <c r="E8" s="83">
        <v>0</v>
      </c>
      <c r="F8" s="161"/>
      <c r="G8" s="76"/>
      <c r="H8" s="84"/>
      <c r="I8" s="84"/>
      <c r="J8" s="76"/>
      <c r="K8" s="76"/>
      <c r="L8" s="76"/>
    </row>
    <row r="9" spans="2:12" ht="20.25" x14ac:dyDescent="0.3">
      <c r="B9" s="82" t="s">
        <v>78</v>
      </c>
      <c r="C9" s="83">
        <v>-70</v>
      </c>
      <c r="D9" s="83">
        <v>0</v>
      </c>
      <c r="E9" s="83">
        <v>0</v>
      </c>
      <c r="F9" s="161"/>
      <c r="G9" s="76"/>
      <c r="H9" s="84"/>
      <c r="I9" s="84"/>
      <c r="J9" s="76"/>
      <c r="K9" s="76"/>
      <c r="L9" s="76"/>
    </row>
    <row r="10" spans="2:12" ht="20.25" x14ac:dyDescent="0.3">
      <c r="B10" s="82" t="s">
        <v>80</v>
      </c>
      <c r="C10" s="83">
        <v>400</v>
      </c>
      <c r="D10" s="83">
        <v>0</v>
      </c>
      <c r="E10" s="83">
        <v>0</v>
      </c>
      <c r="F10" s="161"/>
      <c r="G10" s="76"/>
      <c r="H10" s="84" t="s">
        <v>182</v>
      </c>
      <c r="I10" s="85">
        <f>SQRT(SUMPRODUCT(D6:D33,D6:D33,F6:F33))/IF(I5="",I2/I3,I5)</f>
        <v>5.595942269413257</v>
      </c>
      <c r="J10" s="76"/>
      <c r="K10" s="76"/>
      <c r="L10" s="76"/>
    </row>
    <row r="11" spans="2:12" ht="20.25" x14ac:dyDescent="0.3">
      <c r="B11" s="86" t="s">
        <v>82</v>
      </c>
      <c r="C11" s="83">
        <v>200</v>
      </c>
      <c r="D11" s="83">
        <v>0</v>
      </c>
      <c r="E11" s="83">
        <v>0</v>
      </c>
      <c r="F11" s="161"/>
      <c r="G11" s="76"/>
      <c r="H11" s="84"/>
      <c r="I11" s="84"/>
      <c r="J11" s="76"/>
      <c r="K11" s="76"/>
      <c r="L11" s="76"/>
    </row>
    <row r="12" spans="2:12" ht="20.25" x14ac:dyDescent="0.3">
      <c r="B12" s="82" t="s">
        <v>84</v>
      </c>
      <c r="C12" s="83">
        <v>70</v>
      </c>
      <c r="D12" s="83">
        <v>0</v>
      </c>
      <c r="E12" s="83">
        <v>0</v>
      </c>
      <c r="F12" s="161"/>
      <c r="G12" s="76"/>
      <c r="H12" s="84"/>
      <c r="I12" s="84"/>
      <c r="J12" s="76"/>
      <c r="K12" s="76"/>
      <c r="L12" s="76"/>
    </row>
    <row r="13" spans="2:12" ht="20.25" x14ac:dyDescent="0.3">
      <c r="B13" s="82" t="s">
        <v>183</v>
      </c>
      <c r="C13" s="83">
        <v>1620</v>
      </c>
      <c r="D13" s="83">
        <v>0</v>
      </c>
      <c r="E13" s="83">
        <v>0</v>
      </c>
      <c r="F13" s="161"/>
      <c r="G13" s="76"/>
      <c r="H13" s="84" t="s">
        <v>184</v>
      </c>
      <c r="I13" s="85">
        <f>SQRT(SUMPRODUCT(E6:E33,F6:F33)/IF(I5="",I2/I3,I5))</f>
        <v>5.65595904553635</v>
      </c>
      <c r="J13" s="76"/>
      <c r="K13" s="76"/>
      <c r="L13" s="76"/>
    </row>
    <row r="14" spans="2:12" ht="20.25" x14ac:dyDescent="0.3">
      <c r="B14" s="82" t="s">
        <v>185</v>
      </c>
      <c r="C14" s="83">
        <v>1430</v>
      </c>
      <c r="D14" s="83">
        <v>110</v>
      </c>
      <c r="E14" s="83">
        <v>0</v>
      </c>
      <c r="F14" s="161">
        <v>1</v>
      </c>
      <c r="G14" s="76"/>
      <c r="H14" s="84"/>
      <c r="I14" s="84"/>
      <c r="J14" s="76"/>
      <c r="K14" s="76"/>
      <c r="L14" s="76"/>
    </row>
    <row r="15" spans="2:12" ht="28.5" x14ac:dyDescent="0.3">
      <c r="B15" s="82" t="s">
        <v>186</v>
      </c>
      <c r="C15" s="83">
        <v>1270</v>
      </c>
      <c r="D15" s="83">
        <v>110</v>
      </c>
      <c r="E15" s="83">
        <v>0</v>
      </c>
      <c r="F15" s="161"/>
      <c r="G15" s="76"/>
      <c r="H15" s="84" t="s">
        <v>187</v>
      </c>
      <c r="I15" s="85">
        <f>SQRT(I7^2+I10^2+I13^2)</f>
        <v>15.122242302581991</v>
      </c>
      <c r="J15" s="76"/>
      <c r="K15" s="76"/>
      <c r="L15" s="76"/>
    </row>
    <row r="16" spans="2:12" x14ac:dyDescent="0.2">
      <c r="B16" s="82" t="s">
        <v>101</v>
      </c>
      <c r="C16" s="83">
        <v>220</v>
      </c>
      <c r="D16" s="83"/>
      <c r="E16" s="83"/>
      <c r="F16" s="161"/>
      <c r="G16" s="76"/>
      <c r="H16" s="76"/>
      <c r="I16" s="76"/>
      <c r="J16" s="76"/>
      <c r="K16" s="76"/>
      <c r="L16" s="76"/>
    </row>
    <row r="17" spans="2:12" x14ac:dyDescent="0.2">
      <c r="B17" s="82" t="s">
        <v>103</v>
      </c>
      <c r="C17" s="83">
        <v>450</v>
      </c>
      <c r="D17" s="83">
        <v>550</v>
      </c>
      <c r="E17" s="83">
        <v>400</v>
      </c>
      <c r="F17" s="161"/>
      <c r="G17" s="76"/>
      <c r="H17" s="76"/>
      <c r="I17" s="76"/>
      <c r="J17" s="76"/>
      <c r="K17" s="76"/>
      <c r="L17" s="76"/>
    </row>
    <row r="18" spans="2:12" x14ac:dyDescent="0.2">
      <c r="B18" s="82" t="s">
        <v>105</v>
      </c>
      <c r="C18" s="83">
        <v>550</v>
      </c>
      <c r="D18" s="83"/>
      <c r="E18" s="83"/>
      <c r="F18" s="161"/>
      <c r="G18" s="76"/>
      <c r="H18" s="76"/>
      <c r="I18" s="76"/>
      <c r="J18" s="76"/>
      <c r="K18" s="76"/>
      <c r="L18" s="76"/>
    </row>
    <row r="19" spans="2:12" x14ac:dyDescent="0.2">
      <c r="B19" s="82" t="s">
        <v>104</v>
      </c>
      <c r="C19" s="83">
        <v>430</v>
      </c>
      <c r="D19" s="83">
        <v>1100</v>
      </c>
      <c r="E19" s="83">
        <v>2500</v>
      </c>
      <c r="F19" s="161"/>
      <c r="G19" s="76"/>
      <c r="H19" s="76"/>
      <c r="I19" s="76"/>
      <c r="J19" s="76"/>
      <c r="K19" s="76"/>
      <c r="L19" s="76"/>
    </row>
    <row r="20" spans="2:12" x14ac:dyDescent="0.2">
      <c r="B20" s="82" t="s">
        <v>188</v>
      </c>
      <c r="C20" s="83">
        <v>210</v>
      </c>
      <c r="D20" s="83">
        <v>500</v>
      </c>
      <c r="E20" s="83">
        <v>20000</v>
      </c>
      <c r="F20" s="161"/>
      <c r="G20" s="76"/>
      <c r="H20" s="76"/>
      <c r="I20" s="76"/>
      <c r="J20" s="76"/>
      <c r="K20" s="76"/>
      <c r="L20" s="76"/>
    </row>
    <row r="21" spans="2:12" x14ac:dyDescent="0.2">
      <c r="B21" s="82" t="s">
        <v>189</v>
      </c>
      <c r="C21" s="83">
        <v>100</v>
      </c>
      <c r="D21" s="83">
        <v>400</v>
      </c>
      <c r="E21" s="83">
        <v>3000</v>
      </c>
      <c r="F21" s="161">
        <v>1</v>
      </c>
      <c r="G21" s="76"/>
      <c r="H21" s="76"/>
      <c r="I21" s="76"/>
      <c r="J21" s="76"/>
      <c r="K21" s="76"/>
      <c r="L21" s="76"/>
    </row>
    <row r="22" spans="2:12" x14ac:dyDescent="0.2">
      <c r="B22" s="82" t="s">
        <v>190</v>
      </c>
      <c r="C22" s="83">
        <v>470</v>
      </c>
      <c r="D22" s="83">
        <v>800</v>
      </c>
      <c r="E22" s="83">
        <v>4500</v>
      </c>
      <c r="F22" s="161"/>
      <c r="G22" s="76"/>
      <c r="H22" s="76"/>
      <c r="I22" s="76"/>
      <c r="J22" s="76"/>
      <c r="K22" s="76"/>
      <c r="L22" s="76"/>
    </row>
    <row r="23" spans="2:12" x14ac:dyDescent="0.2">
      <c r="B23" s="82" t="s">
        <v>191</v>
      </c>
      <c r="C23" s="83">
        <v>290</v>
      </c>
      <c r="D23" s="83">
        <v>770</v>
      </c>
      <c r="E23" s="83">
        <v>2000</v>
      </c>
      <c r="F23" s="161">
        <v>1</v>
      </c>
      <c r="G23" s="76"/>
      <c r="H23" s="76"/>
      <c r="I23" s="76"/>
      <c r="J23" s="76"/>
      <c r="K23" s="76"/>
      <c r="L23" s="76"/>
    </row>
    <row r="24" spans="2:12" x14ac:dyDescent="0.2">
      <c r="B24" s="82" t="s">
        <v>192</v>
      </c>
      <c r="C24" s="83">
        <v>530</v>
      </c>
      <c r="D24" s="83">
        <v>420</v>
      </c>
      <c r="E24" s="83">
        <v>10000</v>
      </c>
      <c r="F24" s="161"/>
      <c r="G24" s="76"/>
      <c r="H24" s="76"/>
      <c r="I24" s="76"/>
      <c r="J24" s="76"/>
      <c r="K24" s="76"/>
      <c r="L24" s="76"/>
    </row>
    <row r="25" spans="2:12" x14ac:dyDescent="0.2">
      <c r="B25" s="82" t="s">
        <v>193</v>
      </c>
      <c r="C25" s="83">
        <v>390</v>
      </c>
      <c r="D25" s="83">
        <v>490</v>
      </c>
      <c r="E25" s="83">
        <v>7000</v>
      </c>
      <c r="F25" s="161"/>
      <c r="G25" s="76"/>
      <c r="H25" s="76"/>
      <c r="I25" s="76"/>
      <c r="J25" s="76"/>
      <c r="K25" s="76"/>
      <c r="L25" s="76"/>
    </row>
    <row r="26" spans="2:12" x14ac:dyDescent="0.2">
      <c r="B26" s="82" t="s">
        <v>194</v>
      </c>
      <c r="C26" s="83">
        <v>530</v>
      </c>
      <c r="D26" s="83"/>
      <c r="E26" s="83"/>
      <c r="F26" s="161"/>
      <c r="G26" s="76"/>
      <c r="H26" s="76"/>
      <c r="I26" s="76"/>
      <c r="J26" s="76"/>
      <c r="K26" s="76"/>
      <c r="L26" s="76"/>
    </row>
    <row r="27" spans="2:12" x14ac:dyDescent="0.2">
      <c r="B27" s="82" t="s">
        <v>94</v>
      </c>
      <c r="C27" s="83">
        <v>280</v>
      </c>
      <c r="D27" s="83"/>
      <c r="E27" s="83">
        <v>8400</v>
      </c>
      <c r="F27" s="161"/>
      <c r="G27" s="76"/>
      <c r="H27" s="76"/>
      <c r="I27" s="76"/>
      <c r="J27" s="76"/>
      <c r="K27" s="76"/>
      <c r="L27" s="76"/>
    </row>
    <row r="28" spans="2:12" x14ac:dyDescent="0.2">
      <c r="B28" s="82" t="s">
        <v>195</v>
      </c>
      <c r="C28" s="83">
        <v>160</v>
      </c>
      <c r="D28" s="83">
        <v>210</v>
      </c>
      <c r="E28" s="83">
        <v>3100</v>
      </c>
      <c r="F28" s="161"/>
      <c r="G28" s="76"/>
      <c r="H28" s="76"/>
      <c r="I28" s="76"/>
      <c r="J28" s="76"/>
      <c r="K28" s="76"/>
      <c r="L28" s="76"/>
    </row>
    <row r="29" spans="2:12" x14ac:dyDescent="0.2">
      <c r="B29" s="82" t="s">
        <v>196</v>
      </c>
      <c r="C29" s="83">
        <v>20</v>
      </c>
      <c r="D29" s="83">
        <v>800</v>
      </c>
      <c r="E29" s="83">
        <v>5000</v>
      </c>
      <c r="F29" s="161"/>
      <c r="G29" s="76"/>
      <c r="H29" s="76"/>
      <c r="I29" s="76"/>
      <c r="J29" s="76"/>
      <c r="K29" s="76"/>
      <c r="L29" s="76"/>
    </row>
    <row r="30" spans="2:12" x14ac:dyDescent="0.2">
      <c r="B30" s="82" t="s">
        <v>106</v>
      </c>
      <c r="C30" s="83">
        <v>500</v>
      </c>
      <c r="D30" s="83">
        <v>1070</v>
      </c>
      <c r="E30" s="83">
        <v>1500</v>
      </c>
      <c r="F30" s="161"/>
      <c r="G30" s="76"/>
      <c r="H30" s="76"/>
      <c r="I30" s="76"/>
      <c r="J30" s="76"/>
      <c r="K30" s="76"/>
      <c r="L30" s="76"/>
    </row>
    <row r="31" spans="2:12" x14ac:dyDescent="0.2">
      <c r="B31" s="82" t="s">
        <v>197</v>
      </c>
      <c r="C31" s="83">
        <v>440</v>
      </c>
      <c r="D31" s="83"/>
      <c r="E31" s="83"/>
      <c r="F31" s="161"/>
      <c r="G31" s="76"/>
      <c r="H31" s="76"/>
      <c r="I31" s="76"/>
      <c r="J31" s="76"/>
      <c r="K31" s="76"/>
      <c r="L31" s="76"/>
    </row>
    <row r="32" spans="2:12" x14ac:dyDescent="0.2">
      <c r="B32" s="82" t="s">
        <v>198</v>
      </c>
      <c r="C32" s="83">
        <v>740</v>
      </c>
      <c r="D32" s="83">
        <v>1890</v>
      </c>
      <c r="E32" s="83">
        <v>13000</v>
      </c>
      <c r="F32" s="161"/>
      <c r="G32" s="76"/>
      <c r="H32" s="76"/>
      <c r="I32" s="76"/>
      <c r="J32" s="76"/>
      <c r="K32" s="76"/>
      <c r="L32" s="76"/>
    </row>
    <row r="33" spans="2:12" x14ac:dyDescent="0.2">
      <c r="B33" s="82" t="s">
        <v>199</v>
      </c>
      <c r="C33" s="83">
        <v>190</v>
      </c>
      <c r="D33" s="83"/>
      <c r="E33" s="83"/>
      <c r="F33" s="161">
        <v>1</v>
      </c>
      <c r="G33" s="76"/>
      <c r="H33" s="76"/>
      <c r="I33" s="76"/>
      <c r="J33" s="76"/>
      <c r="K33" s="76"/>
      <c r="L33" s="7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3"/>
  <sheetViews>
    <sheetView topLeftCell="D1" zoomScaleNormal="100" workbookViewId="0">
      <selection activeCell="F1" sqref="F1:H1"/>
    </sheetView>
  </sheetViews>
  <sheetFormatPr baseColWidth="10" defaultColWidth="11.42578125" defaultRowHeight="15" x14ac:dyDescent="0.2"/>
  <cols>
    <col min="1" max="1" width="15" style="10" bestFit="1" customWidth="1"/>
    <col min="2" max="2" width="11.5703125" style="10" bestFit="1" customWidth="1"/>
    <col min="3" max="3" width="53.85546875" style="10" customWidth="1"/>
    <col min="4" max="4" width="15" style="10" customWidth="1"/>
    <col min="5" max="8" width="7" style="10" bestFit="1" customWidth="1"/>
    <col min="9" max="9" width="10.7109375" style="10" bestFit="1" customWidth="1"/>
    <col min="10" max="10" width="6" style="10" customWidth="1"/>
    <col min="11" max="11" width="11.5703125" style="10" bestFit="1" customWidth="1"/>
    <col min="12" max="13" width="12.5703125" style="10" bestFit="1" customWidth="1"/>
    <col min="14" max="14" width="12.85546875" style="10" bestFit="1" customWidth="1"/>
    <col min="15" max="15" width="12.85546875" style="10" customWidth="1"/>
    <col min="16" max="16" width="15.140625" style="10" bestFit="1" customWidth="1"/>
    <col min="17" max="17" width="5.140625" style="10" customWidth="1"/>
    <col min="18" max="18" width="12" style="10" customWidth="1"/>
    <col min="19" max="19" width="12.7109375" style="10" bestFit="1" customWidth="1"/>
    <col min="20" max="20" width="11.85546875" style="10" customWidth="1"/>
    <col min="21" max="21" width="12" style="10" customWidth="1"/>
    <col min="22" max="22" width="20.140625" style="10" bestFit="1" customWidth="1"/>
    <col min="23" max="23" width="11.5703125" style="10" bestFit="1" customWidth="1"/>
    <col min="24" max="16384" width="11.42578125" style="10"/>
  </cols>
  <sheetData>
    <row r="1" spans="1:30" ht="15.75" thickBot="1" x14ac:dyDescent="0.25">
      <c r="A1" s="10" t="s">
        <v>200</v>
      </c>
      <c r="B1" s="26">
        <f>B4/B5</f>
        <v>156.29946524064169</v>
      </c>
      <c r="C1" s="10">
        <v>1</v>
      </c>
      <c r="D1" s="10" t="s">
        <v>201</v>
      </c>
      <c r="E1" s="12">
        <f>SQRT(F1^2+G1^2+H1^2)</f>
        <v>26.4592138961081</v>
      </c>
      <c r="F1" s="161">
        <v>19.8</v>
      </c>
      <c r="G1" s="161">
        <v>8.6</v>
      </c>
      <c r="H1" s="161">
        <v>15.3</v>
      </c>
      <c r="N1" s="10">
        <v>1</v>
      </c>
    </row>
    <row r="2" spans="1:30" ht="16.5" thickBot="1" x14ac:dyDescent="0.3">
      <c r="A2" s="10" t="s">
        <v>202</v>
      </c>
      <c r="B2" s="5">
        <f>IF(C1=1,'Data and Instruction'!C5,Calculation!G45)</f>
        <v>16.04</v>
      </c>
      <c r="C2" s="10" t="s">
        <v>125</v>
      </c>
      <c r="D2" s="13" t="s">
        <v>203</v>
      </c>
      <c r="E2" s="12">
        <f>SQRT(F2^2+G2^2+H2^2)</f>
        <v>15.122242302581991</v>
      </c>
      <c r="F2" s="21">
        <f>'Van Krevelen'!I7</f>
        <v>12.859928835363352</v>
      </c>
      <c r="G2" s="11">
        <f>'Van Krevelen'!I10</f>
        <v>5.595942269413257</v>
      </c>
      <c r="H2" s="10">
        <f>'Van Krevelen'!I13</f>
        <v>5.65595904553635</v>
      </c>
      <c r="Q2" s="31" t="s">
        <v>232</v>
      </c>
      <c r="R2" s="31"/>
      <c r="S2" s="30">
        <f>EXP((1000*$B$2/$B$6)*(1/$B$3-1/(25+273)))</f>
        <v>0.42076916794250779</v>
      </c>
      <c r="T2" s="35"/>
      <c r="U2" s="14"/>
      <c r="V2" s="14"/>
    </row>
    <row r="3" spans="1:30" ht="15.75" x14ac:dyDescent="0.25">
      <c r="A3" s="10" t="s">
        <v>204</v>
      </c>
      <c r="B3" s="7">
        <f>'Data and Instruction'!C6</f>
        <v>344</v>
      </c>
      <c r="C3" s="10" t="s">
        <v>116</v>
      </c>
      <c r="Q3" s="32" t="s">
        <v>233</v>
      </c>
      <c r="R3" s="32"/>
      <c r="S3" s="33">
        <v>1</v>
      </c>
      <c r="T3" s="33"/>
    </row>
    <row r="4" spans="1:30" x14ac:dyDescent="0.2">
      <c r="A4" s="10" t="s">
        <v>205</v>
      </c>
      <c r="B4" s="26">
        <f>'Data and Instruction'!C4</f>
        <v>146.13999999999999</v>
      </c>
      <c r="C4" s="10" t="s">
        <v>114</v>
      </c>
      <c r="E4" s="12"/>
      <c r="P4" s="156" t="s">
        <v>237</v>
      </c>
      <c r="Q4" s="156"/>
      <c r="S4" s="33">
        <f>N1</f>
        <v>1</v>
      </c>
    </row>
    <row r="5" spans="1:30" x14ac:dyDescent="0.2">
      <c r="A5" s="10" t="s">
        <v>206</v>
      </c>
      <c r="B5" s="7">
        <f>'Data and Instruction'!C7</f>
        <v>0.93500000000000005</v>
      </c>
      <c r="E5" s="12"/>
    </row>
    <row r="6" spans="1:30" x14ac:dyDescent="0.2">
      <c r="A6" s="10" t="s">
        <v>4</v>
      </c>
      <c r="B6" s="119">
        <f>'Data and Instruction'!C8</f>
        <v>8.3144720000000003</v>
      </c>
      <c r="C6" s="10" t="s">
        <v>132</v>
      </c>
      <c r="U6" s="11"/>
    </row>
    <row r="7" spans="1:30" ht="15.75" customHeight="1" x14ac:dyDescent="0.2">
      <c r="B7" s="20"/>
      <c r="U7" s="11"/>
      <c r="AC7" s="10" t="s">
        <v>207</v>
      </c>
      <c r="AD7" s="10" t="s">
        <v>208</v>
      </c>
    </row>
    <row r="8" spans="1:30" ht="32.25" customHeight="1" x14ac:dyDescent="0.45">
      <c r="B8" s="15" t="s">
        <v>209</v>
      </c>
      <c r="C8" s="13" t="s">
        <v>210</v>
      </c>
      <c r="D8" s="13" t="s">
        <v>211</v>
      </c>
      <c r="E8" s="15" t="s">
        <v>212</v>
      </c>
      <c r="F8" s="15" t="s">
        <v>213</v>
      </c>
      <c r="G8" s="15" t="s">
        <v>214</v>
      </c>
      <c r="H8" s="15" t="s">
        <v>3</v>
      </c>
      <c r="I8" s="15" t="s">
        <v>216</v>
      </c>
      <c r="J8" s="13"/>
      <c r="K8" s="15" t="s">
        <v>215</v>
      </c>
      <c r="L8" s="6" t="s">
        <v>229</v>
      </c>
      <c r="M8" s="4" t="s">
        <v>230</v>
      </c>
      <c r="N8" s="34" t="s">
        <v>235</v>
      </c>
      <c r="O8" s="34" t="s">
        <v>235</v>
      </c>
      <c r="P8" s="27" t="s">
        <v>231</v>
      </c>
      <c r="Q8" s="13"/>
      <c r="R8" s="16" t="s">
        <v>236</v>
      </c>
      <c r="S8" s="16" t="s">
        <v>217</v>
      </c>
      <c r="T8" s="16" t="s">
        <v>238</v>
      </c>
      <c r="U8" s="16" t="s">
        <v>218</v>
      </c>
      <c r="V8" s="16" t="s">
        <v>234</v>
      </c>
      <c r="W8" s="15" t="s">
        <v>219</v>
      </c>
    </row>
    <row r="9" spans="1:30" x14ac:dyDescent="0.2">
      <c r="B9" s="22">
        <v>1</v>
      </c>
      <c r="C9" s="123" t="s">
        <v>48</v>
      </c>
      <c r="D9" s="161">
        <v>60.1</v>
      </c>
      <c r="E9" s="161">
        <f t="shared" ref="E9:E14" si="0">SQRT(F9^2+G9^2+H9^2)</f>
        <v>24.596747752497688</v>
      </c>
      <c r="F9" s="161">
        <v>16</v>
      </c>
      <c r="G9" s="161">
        <v>6.8</v>
      </c>
      <c r="H9" s="161">
        <v>17.399999999999999</v>
      </c>
      <c r="I9" s="161">
        <v>75.099999999999994</v>
      </c>
      <c r="K9" s="17">
        <f t="shared" ref="K9:K11" si="1">(4*($F$2-F9)^2+($G$2-G9)^2+($H$2-H9)^2)^(0.5)</f>
        <v>13.372076900565423</v>
      </c>
      <c r="L9" s="8">
        <f>R9*$B$1/(R9*$B$1+(1-R9)*I9)</f>
        <v>9.2917179243655681E-2</v>
      </c>
      <c r="M9" s="28">
        <f>(1-R9)*I9/((1-R9)*I9+R9*$B$1)</f>
        <v>0.90708282075634428</v>
      </c>
      <c r="N9" s="29">
        <f>$S$3*($B$1/($B$6*(25+273)))*(($F$2-F9)^2+0.25*(($G$2-G9)^2+($H$2-H9)^2))</f>
        <v>2.819968730220618</v>
      </c>
      <c r="O9" s="29">
        <f>($B$1/($B$6*298.15))*($E$2-E9)^2</f>
        <v>5.6598002396910987</v>
      </c>
      <c r="P9" s="29">
        <f>EXP(LN(L9/R9)+1-L9/R9+IF($S$4=1,N9,O9)*((M9)^2))</f>
        <v>7.5609105247648785</v>
      </c>
      <c r="R9" s="162">
        <v>4.691E-2</v>
      </c>
      <c r="S9" s="18">
        <f>$S$2/P9</f>
        <v>5.5650594801291135E-2</v>
      </c>
      <c r="T9" s="18">
        <f>(R9-S9)^2</f>
        <v>7.639799748035761E-5</v>
      </c>
      <c r="U9" s="19">
        <f>S9*$B$4/(S9*$B$4+(1-S9)*D9)</f>
        <v>0.12533528106535577</v>
      </c>
      <c r="V9" s="11">
        <f>1/U9-1</f>
        <v>6.9785994135087348</v>
      </c>
      <c r="W9" s="10">
        <f>IF(V9&gt;10000,0,1)</f>
        <v>1</v>
      </c>
    </row>
    <row r="10" spans="1:30" x14ac:dyDescent="0.2">
      <c r="B10" s="22">
        <f>1+B9</f>
        <v>2</v>
      </c>
      <c r="C10" s="123" t="s">
        <v>49</v>
      </c>
      <c r="D10" s="161">
        <v>60.1</v>
      </c>
      <c r="E10" s="161">
        <f t="shared" si="0"/>
        <v>23.575623003433016</v>
      </c>
      <c r="F10" s="161">
        <v>15.8</v>
      </c>
      <c r="G10" s="161">
        <v>6.1</v>
      </c>
      <c r="H10" s="161">
        <v>16.399999999999999</v>
      </c>
      <c r="I10" s="161">
        <v>76.900000000000006</v>
      </c>
      <c r="K10" s="17">
        <f t="shared" si="1"/>
        <v>12.258244737296936</v>
      </c>
      <c r="L10" s="8">
        <f t="shared" ref="L10:L11" si="2">R10*$B$1/(R10*$B$1+(1-R10)*I10)</f>
        <v>6.888367310459402E-2</v>
      </c>
      <c r="M10" s="28">
        <f t="shared" ref="M10:M11" si="3">(1-R10)*I10/((1-R10)*I10+R10*$B$1)</f>
        <v>0.93111632689540602</v>
      </c>
      <c r="N10" s="29">
        <f t="shared" ref="N10:N11" si="4">$S$3*($B$1/($B$6*(25+273)))*(($F$2-F10)^2+0.25*(($G$2-G10)^2+($H$2-H10)^2))</f>
        <v>2.3697533032243401</v>
      </c>
      <c r="O10" s="29">
        <f t="shared" ref="O10:O11" si="5">($B$1/($B$6*298.15))*($E$2-E10)^2</f>
        <v>4.5055608492675763</v>
      </c>
      <c r="P10" s="29">
        <f t="shared" ref="P10:P11" si="6">EXP(LN(L10/R10)+1-L10/R10+IF($S$4=1,N10,O10)*((M10)^2))</f>
        <v>5.8520455540654197</v>
      </c>
      <c r="R10" s="162">
        <v>3.5119999999999998E-2</v>
      </c>
      <c r="S10" s="18">
        <f t="shared" ref="S10:S11" si="7">$S$2/P10</f>
        <v>7.190121198735358E-2</v>
      </c>
      <c r="T10" s="18">
        <f t="shared" ref="T10:T11" si="8">(R10-S10)^2</f>
        <v>1.3528575552586427E-3</v>
      </c>
      <c r="U10" s="19">
        <f t="shared" ref="U10:U11" si="9">S10*$B$4/(S10*$B$4+(1-S10)*D10)</f>
        <v>0.15851888541119544</v>
      </c>
      <c r="V10" s="11">
        <f t="shared" ref="V10:V11" si="10">1/U10-1</f>
        <v>5.3083966141069947</v>
      </c>
      <c r="W10" s="10">
        <f t="shared" ref="W10:W11" si="11">IF(V10&gt;10000,0,1)</f>
        <v>1</v>
      </c>
    </row>
    <row r="11" spans="1:30" x14ac:dyDescent="0.2">
      <c r="B11" s="22">
        <f t="shared" ref="B11:B14" si="12">1+B10</f>
        <v>3</v>
      </c>
      <c r="C11" s="123" t="s">
        <v>57</v>
      </c>
      <c r="D11" s="161">
        <v>46.07</v>
      </c>
      <c r="E11" s="161">
        <f t="shared" si="0"/>
        <v>26.522443326360413</v>
      </c>
      <c r="F11" s="161">
        <v>15.8</v>
      </c>
      <c r="G11" s="161">
        <v>8.8000000000000007</v>
      </c>
      <c r="H11" s="161">
        <v>19.399999999999999</v>
      </c>
      <c r="I11" s="161">
        <v>58.6</v>
      </c>
      <c r="K11" s="17">
        <f t="shared" si="1"/>
        <v>15.28858140938584</v>
      </c>
      <c r="L11" s="8">
        <f t="shared" si="2"/>
        <v>0.13060608487886677</v>
      </c>
      <c r="M11" s="28">
        <f t="shared" si="3"/>
        <v>0.86939391512113329</v>
      </c>
      <c r="N11" s="29">
        <f t="shared" si="4"/>
        <v>3.686217375603182</v>
      </c>
      <c r="O11" s="29">
        <f t="shared" si="5"/>
        <v>8.1943219342681015</v>
      </c>
      <c r="P11" s="29">
        <f t="shared" si="6"/>
        <v>9.3241676155275908</v>
      </c>
      <c r="R11" s="162">
        <v>5.3319999999999999E-2</v>
      </c>
      <c r="S11" s="18">
        <f t="shared" si="7"/>
        <v>4.5126727155976737E-2</v>
      </c>
      <c r="T11" s="18">
        <f t="shared" si="8"/>
        <v>6.7129719896609041E-5</v>
      </c>
      <c r="U11" s="19">
        <f t="shared" si="9"/>
        <v>0.13036891358201186</v>
      </c>
      <c r="V11" s="11">
        <f t="shared" si="10"/>
        <v>6.6705402578270681</v>
      </c>
      <c r="W11" s="10">
        <f t="shared" si="11"/>
        <v>1</v>
      </c>
    </row>
    <row r="12" spans="1:30" x14ac:dyDescent="0.2">
      <c r="B12" s="22">
        <f t="shared" si="12"/>
        <v>4</v>
      </c>
      <c r="C12" s="124" t="s">
        <v>274</v>
      </c>
      <c r="D12" s="161">
        <v>32.04</v>
      </c>
      <c r="E12" s="161">
        <f t="shared" si="0"/>
        <v>29.405271636221965</v>
      </c>
      <c r="F12" s="161">
        <v>14.7</v>
      </c>
      <c r="G12" s="161">
        <v>12.3</v>
      </c>
      <c r="H12" s="161">
        <v>22.3</v>
      </c>
      <c r="I12" s="161">
        <v>40.6</v>
      </c>
      <c r="K12" s="17">
        <f t="shared" ref="K12:K14" si="13">(4*($F$2-F12)^2+($G$2-G12)^2+($H$2-H12)^2)^(0.5)</f>
        <v>18.316984929638725</v>
      </c>
      <c r="L12" s="8">
        <f t="shared" ref="L12:L14" si="14">R12*$B$1/(R12*$B$1+(1-R12)*I12)</f>
        <v>0.25311999437603</v>
      </c>
      <c r="M12" s="28">
        <f t="shared" ref="M12:M14" si="15">(1-R12)*I12/((1-R12)*I12+R12*$B$1)</f>
        <v>0.74688000562396994</v>
      </c>
      <c r="N12" s="29">
        <f t="shared" ref="N12:N14" si="16">$S$3*($B$1/($B$6*(25+273)))*(($F$2-F12)^2+0.25*(($G$2-G12)^2+($H$2-H12)^2))</f>
        <v>5.291204389086877</v>
      </c>
      <c r="O12" s="29">
        <f t="shared" ref="O12:O14" si="17">($B$1/($B$6*298.15))*($E$2-E12)^2</f>
        <v>12.862596901869479</v>
      </c>
      <c r="P12" s="29">
        <f t="shared" ref="P12:P14" si="18">EXP(LN(L12/R12)+1-L12/R12+IF($S$4=1,N12,O12)*((M12)^2))</f>
        <v>7.1256660468197772</v>
      </c>
      <c r="R12" s="162">
        <v>8.0909999999999996E-2</v>
      </c>
      <c r="S12" s="18">
        <f t="shared" ref="S12:S14" si="19">$S$2/P12</f>
        <v>5.9049801825935881E-2</v>
      </c>
      <c r="T12" s="18">
        <f t="shared" ref="T12:T14" si="20">(R12-S12)^2</f>
        <v>4.7786826420935605E-4</v>
      </c>
      <c r="U12" s="19">
        <f t="shared" ref="U12:U14" si="21">S12*$B$4/(S12*$B$4+(1-S12)*D12)</f>
        <v>0.22253935153619162</v>
      </c>
      <c r="V12" s="11">
        <f t="shared" ref="V12:V14" si="22">1/U12-1</f>
        <v>3.4935872828647554</v>
      </c>
      <c r="W12" s="10">
        <f t="shared" ref="W12:W14" si="23">IF(V12&gt;10000,0,1)</f>
        <v>1</v>
      </c>
    </row>
    <row r="13" spans="1:30" x14ac:dyDescent="0.2">
      <c r="B13" s="22">
        <f t="shared" si="12"/>
        <v>5</v>
      </c>
      <c r="C13" s="124" t="s">
        <v>275</v>
      </c>
      <c r="D13" s="161">
        <v>86.18</v>
      </c>
      <c r="E13" s="161">
        <f t="shared" si="0"/>
        <v>14.900671125825172</v>
      </c>
      <c r="F13" s="161">
        <v>14.9</v>
      </c>
      <c r="G13" s="161">
        <v>0.1</v>
      </c>
      <c r="H13" s="161">
        <v>0.1</v>
      </c>
      <c r="I13" s="161">
        <v>127.5</v>
      </c>
      <c r="K13" s="17">
        <f t="shared" si="13"/>
        <v>8.8159868291376355</v>
      </c>
      <c r="L13" s="8">
        <f t="shared" si="14"/>
        <v>3.9101838281362889E-3</v>
      </c>
      <c r="M13" s="28">
        <f t="shared" si="15"/>
        <v>0.99608981617186376</v>
      </c>
      <c r="N13" s="29">
        <f t="shared" si="16"/>
        <v>1.225711969031914</v>
      </c>
      <c r="O13" s="29">
        <f t="shared" si="17"/>
        <v>3.0953839885663045E-3</v>
      </c>
      <c r="P13" s="29">
        <f t="shared" si="18"/>
        <v>3.3005428861914585</v>
      </c>
      <c r="R13" s="162">
        <v>3.192E-3</v>
      </c>
      <c r="S13" s="18">
        <f t="shared" si="19"/>
        <v>0.12748483581379519</v>
      </c>
      <c r="T13" s="18">
        <f t="shared" si="20"/>
        <v>1.5448709034635048E-2</v>
      </c>
      <c r="U13" s="19">
        <f t="shared" si="21"/>
        <v>0.19857004328881322</v>
      </c>
      <c r="V13" s="11">
        <f t="shared" si="22"/>
        <v>4.0360063554276149</v>
      </c>
      <c r="W13" s="10">
        <f t="shared" si="23"/>
        <v>1</v>
      </c>
    </row>
    <row r="14" spans="1:30" x14ac:dyDescent="0.2">
      <c r="B14" s="22">
        <f t="shared" si="12"/>
        <v>6</v>
      </c>
      <c r="C14" s="124" t="s">
        <v>276</v>
      </c>
      <c r="D14" s="161">
        <v>84.16</v>
      </c>
      <c r="E14" s="161">
        <f t="shared" si="0"/>
        <v>16.801190434013897</v>
      </c>
      <c r="F14" s="161">
        <v>16.8</v>
      </c>
      <c r="G14" s="161">
        <v>0</v>
      </c>
      <c r="H14" s="161">
        <v>0.2</v>
      </c>
      <c r="I14" s="161">
        <v>108.9</v>
      </c>
      <c r="K14" s="17">
        <f t="shared" si="13"/>
        <v>11.098590095988801</v>
      </c>
      <c r="L14" s="8">
        <f t="shared" si="14"/>
        <v>6.1286169195691681E-3</v>
      </c>
      <c r="M14" s="28">
        <f t="shared" si="15"/>
        <v>0.99387138308043088</v>
      </c>
      <c r="N14" s="29">
        <f t="shared" si="16"/>
        <v>1.9425946369910421</v>
      </c>
      <c r="O14" s="29">
        <f t="shared" si="17"/>
        <v>0.17773074538919376</v>
      </c>
      <c r="P14" s="29">
        <f t="shared" si="18"/>
        <v>6.3328538372354117</v>
      </c>
      <c r="R14" s="162">
        <v>4.2779999999999997E-3</v>
      </c>
      <c r="S14" s="18">
        <f t="shared" si="19"/>
        <v>6.6442267381650683E-2</v>
      </c>
      <c r="T14" s="18">
        <f t="shared" si="20"/>
        <v>3.8643961390973595E-3</v>
      </c>
      <c r="U14" s="19">
        <f t="shared" si="21"/>
        <v>0.10999187640572973</v>
      </c>
      <c r="V14" s="11">
        <f t="shared" si="22"/>
        <v>8.0915805119214035</v>
      </c>
      <c r="W14" s="10">
        <f t="shared" si="23"/>
        <v>1</v>
      </c>
    </row>
    <row r="15" spans="1:30" ht="15.75" x14ac:dyDescent="0.25">
      <c r="P15" s="138">
        <f>AVERAGE(P9:P14)</f>
        <v>6.5826977441007566</v>
      </c>
      <c r="T15" s="139">
        <f>SUM(T9:T14)</f>
        <v>2.1287358710577374E-2</v>
      </c>
    </row>
    <row r="17" spans="3:3" ht="15.75" x14ac:dyDescent="0.25">
      <c r="C17" s="6" t="s">
        <v>284</v>
      </c>
    </row>
    <row r="18" spans="3:3" ht="15.75" x14ac:dyDescent="0.25">
      <c r="C18" s="6" t="s">
        <v>248</v>
      </c>
    </row>
    <row r="21" spans="3:3" ht="23.25" x14ac:dyDescent="0.35">
      <c r="C21" s="34" t="s">
        <v>249</v>
      </c>
    </row>
    <row r="22" spans="3:3" ht="15.75" x14ac:dyDescent="0.25">
      <c r="C22" s="34"/>
    </row>
    <row r="23" spans="3:3" ht="23.25" x14ac:dyDescent="0.35">
      <c r="C23" s="34" t="s">
        <v>250</v>
      </c>
    </row>
    <row r="26" spans="3:3" ht="28.5" x14ac:dyDescent="0.45">
      <c r="C26" s="27" t="s">
        <v>231</v>
      </c>
    </row>
    <row r="29" spans="3:3" ht="15.75" x14ac:dyDescent="0.25">
      <c r="C29" s="34" t="s">
        <v>251</v>
      </c>
    </row>
    <row r="33" spans="3:3" ht="15.75" x14ac:dyDescent="0.25">
      <c r="C33" s="34" t="s">
        <v>252</v>
      </c>
    </row>
  </sheetData>
  <mergeCells count="1">
    <mergeCell ref="P4:Q4"/>
  </mergeCells>
  <conditionalFormatting sqref="W9:W14">
    <cfRule type="cellIs" dxfId="2" priority="1" operator="equal">
      <formula>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3" name="Group Box 2">
              <controlPr defaultSize="0" autoFill="0" autoPict="0">
                <anchor moveWithCells="1">
                  <from>
                    <xdr:col>12</xdr:col>
                    <xdr:colOff>781050</xdr:colOff>
                    <xdr:row>0</xdr:row>
                    <xdr:rowOff>171450</xdr:rowOff>
                  </from>
                  <to>
                    <xdr:col>15</xdr:col>
                    <xdr:colOff>276225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4" name="Option Button 3">
              <controlPr defaultSize="0" autoFill="0" autoLine="0" autoPict="0">
                <anchor moveWithCells="1">
                  <from>
                    <xdr:col>13</xdr:col>
                    <xdr:colOff>228600</xdr:colOff>
                    <xdr:row>1</xdr:row>
                    <xdr:rowOff>142875</xdr:rowOff>
                  </from>
                  <to>
                    <xdr:col>14</xdr:col>
                    <xdr:colOff>609600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Option Button 4">
              <controlPr defaultSize="0" autoFill="0" autoLine="0" autoPict="0">
                <anchor moveWithCells="1">
                  <from>
                    <xdr:col>13</xdr:col>
                    <xdr:colOff>219075</xdr:colOff>
                    <xdr:row>3</xdr:row>
                    <xdr:rowOff>66675</xdr:rowOff>
                  </from>
                  <to>
                    <xdr:col>14</xdr:col>
                    <xdr:colOff>438150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7"/>
  <sheetViews>
    <sheetView zoomScale="75" zoomScaleNormal="75" workbookViewId="0">
      <selection activeCell="I4" sqref="I4"/>
    </sheetView>
  </sheetViews>
  <sheetFormatPr baseColWidth="10" defaultColWidth="11.42578125" defaultRowHeight="15" x14ac:dyDescent="0.2"/>
  <cols>
    <col min="1" max="1" width="15" style="10" bestFit="1" customWidth="1"/>
    <col min="2" max="2" width="11.5703125" style="10" bestFit="1" customWidth="1"/>
    <col min="3" max="3" width="53.85546875" style="10" customWidth="1"/>
    <col min="4" max="4" width="15" style="10" customWidth="1"/>
    <col min="5" max="8" width="7" style="10" bestFit="1" customWidth="1"/>
    <col min="9" max="9" width="10.7109375" style="10" bestFit="1" customWidth="1"/>
    <col min="10" max="10" width="6" style="10" customWidth="1"/>
    <col min="11" max="11" width="11.5703125" style="10" bestFit="1" customWidth="1"/>
    <col min="12" max="13" width="12.5703125" style="10" bestFit="1" customWidth="1"/>
    <col min="14" max="14" width="12.85546875" style="10" bestFit="1" customWidth="1"/>
    <col min="15" max="15" width="12.85546875" style="10" customWidth="1"/>
    <col min="16" max="16" width="16.5703125" style="10" bestFit="1" customWidth="1"/>
    <col min="17" max="17" width="5.140625" style="10" customWidth="1"/>
    <col min="18" max="18" width="11.85546875" style="10" bestFit="1" customWidth="1"/>
    <col min="19" max="19" width="12" style="10" customWidth="1"/>
    <col min="20" max="20" width="20.140625" style="10" bestFit="1" customWidth="1"/>
    <col min="21" max="21" width="11.5703125" style="10" bestFit="1" customWidth="1"/>
    <col min="22" max="16384" width="11.42578125" style="10"/>
  </cols>
  <sheetData>
    <row r="1" spans="1:28" ht="15.75" thickBot="1" x14ac:dyDescent="0.25">
      <c r="A1" s="10" t="s">
        <v>200</v>
      </c>
      <c r="B1" s="26">
        <f>B4/B5</f>
        <v>156.29946524064169</v>
      </c>
      <c r="C1" s="10">
        <v>1</v>
      </c>
      <c r="D1" s="10" t="s">
        <v>201</v>
      </c>
      <c r="E1" s="12">
        <f>SQRT(F1^2+G1^2+H1^2)</f>
        <v>26.4592138961081</v>
      </c>
      <c r="F1" s="161">
        <v>19.8</v>
      </c>
      <c r="G1" s="161">
        <v>8.6</v>
      </c>
      <c r="H1" s="161">
        <v>15.3</v>
      </c>
    </row>
    <row r="2" spans="1:28" ht="16.5" thickBot="1" x14ac:dyDescent="0.3">
      <c r="A2" s="10" t="s">
        <v>202</v>
      </c>
      <c r="B2" s="5">
        <f>IF(C1=1,'Data and Instruction'!C5,Calculation!G45)</f>
        <v>16.04</v>
      </c>
      <c r="C2" s="10" t="s">
        <v>125</v>
      </c>
      <c r="D2" s="13" t="s">
        <v>203</v>
      </c>
      <c r="E2" s="12">
        <f>SQRT(F2^2+G2^2+H2^2)</f>
        <v>15.122242302581991</v>
      </c>
      <c r="F2" s="21">
        <f>'Van Krevelen'!I7</f>
        <v>12.859928835363352</v>
      </c>
      <c r="G2" s="10">
        <f>'Van Krevelen'!I10</f>
        <v>5.595942269413257</v>
      </c>
      <c r="H2" s="10">
        <f>'Van Krevelen'!I13</f>
        <v>5.65595904553635</v>
      </c>
      <c r="Q2" s="31" t="s">
        <v>232</v>
      </c>
      <c r="R2" s="30">
        <f>EXP((1000*$B$2/$B$6)*(1/$B$3-1/(25+273)))</f>
        <v>0.42076916794250779</v>
      </c>
      <c r="S2" s="14"/>
      <c r="T2" s="14"/>
    </row>
    <row r="3" spans="1:28" ht="15.75" x14ac:dyDescent="0.25">
      <c r="A3" s="10" t="s">
        <v>204</v>
      </c>
      <c r="B3" s="7">
        <f>'Data and Instruction'!C6</f>
        <v>344</v>
      </c>
      <c r="C3" s="10" t="s">
        <v>116</v>
      </c>
      <c r="Q3" s="32" t="s">
        <v>233</v>
      </c>
      <c r="R3" s="33">
        <v>1</v>
      </c>
    </row>
    <row r="4" spans="1:28" x14ac:dyDescent="0.2">
      <c r="A4" s="10" t="s">
        <v>205</v>
      </c>
      <c r="B4" s="26">
        <f>'Data and Instruction'!C4</f>
        <v>146.13999999999999</v>
      </c>
      <c r="C4" s="10" t="s">
        <v>114</v>
      </c>
      <c r="E4" s="12"/>
      <c r="P4" s="156" t="s">
        <v>237</v>
      </c>
      <c r="Q4" s="156"/>
      <c r="R4" s="33">
        <f>'Solubility literature'!S4</f>
        <v>1</v>
      </c>
    </row>
    <row r="5" spans="1:28" x14ac:dyDescent="0.2">
      <c r="A5" s="10" t="s">
        <v>206</v>
      </c>
      <c r="B5" s="7">
        <f>'Data and Instruction'!C7</f>
        <v>0.93500000000000005</v>
      </c>
      <c r="E5" s="12"/>
    </row>
    <row r="6" spans="1:28" x14ac:dyDescent="0.2">
      <c r="A6" s="10" t="s">
        <v>4</v>
      </c>
      <c r="B6" s="7">
        <f>'Data and Instruction'!C8</f>
        <v>8.3144720000000003</v>
      </c>
      <c r="C6" s="10" t="s">
        <v>132</v>
      </c>
      <c r="S6" s="11"/>
    </row>
    <row r="7" spans="1:28" ht="15.75" customHeight="1" x14ac:dyDescent="0.2">
      <c r="A7" s="10" t="s">
        <v>228</v>
      </c>
      <c r="B7" s="163">
        <v>1E-4</v>
      </c>
      <c r="S7" s="11"/>
      <c r="AA7" s="10" t="s">
        <v>207</v>
      </c>
      <c r="AB7" s="10" t="s">
        <v>208</v>
      </c>
    </row>
    <row r="8" spans="1:28" ht="32.25" customHeight="1" x14ac:dyDescent="0.45">
      <c r="B8" s="15" t="s">
        <v>209</v>
      </c>
      <c r="C8" s="13" t="s">
        <v>210</v>
      </c>
      <c r="D8" s="13" t="s">
        <v>211</v>
      </c>
      <c r="E8" s="15" t="s">
        <v>212</v>
      </c>
      <c r="F8" s="15" t="s">
        <v>213</v>
      </c>
      <c r="G8" s="15" t="s">
        <v>214</v>
      </c>
      <c r="H8" s="15" t="s">
        <v>3</v>
      </c>
      <c r="I8" s="15" t="s">
        <v>216</v>
      </c>
      <c r="J8" s="13"/>
      <c r="K8" s="15" t="s">
        <v>215</v>
      </c>
      <c r="L8" s="6" t="s">
        <v>229</v>
      </c>
      <c r="M8" s="4" t="s">
        <v>230</v>
      </c>
      <c r="N8" s="34" t="s">
        <v>235</v>
      </c>
      <c r="O8" s="34" t="s">
        <v>235</v>
      </c>
      <c r="P8" s="27" t="s">
        <v>231</v>
      </c>
      <c r="Q8" s="13"/>
      <c r="R8" s="16" t="s">
        <v>217</v>
      </c>
      <c r="S8" s="16" t="s">
        <v>218</v>
      </c>
      <c r="T8" s="16" t="s">
        <v>234</v>
      </c>
      <c r="U8" s="15" t="s">
        <v>219</v>
      </c>
    </row>
    <row r="9" spans="1:28" x14ac:dyDescent="0.2">
      <c r="B9" s="22">
        <v>1</v>
      </c>
      <c r="C9" s="2" t="s">
        <v>48</v>
      </c>
      <c r="D9" s="24">
        <v>60.1</v>
      </c>
      <c r="E9" s="12">
        <f t="shared" ref="E9:E48" si="0">SQRT(F9^2+G9^2+H9^2)</f>
        <v>24.596747752497688</v>
      </c>
      <c r="F9" s="1">
        <v>16</v>
      </c>
      <c r="G9" s="1">
        <v>6.8</v>
      </c>
      <c r="H9" s="1">
        <v>17.399999999999999</v>
      </c>
      <c r="I9" s="1">
        <v>75.099999999999994</v>
      </c>
      <c r="K9" s="17">
        <f t="shared" ref="K9:K48" si="1">(4*($F$2-F9)^2+($G$2-G9)^2+($H$2-H9)^2)^(0.5)</f>
        <v>13.372076900565423</v>
      </c>
      <c r="L9" s="8">
        <f>$B$7*$B$1/($B$7*$B$1+(1-$B$7)*I9)</f>
        <v>2.0809929119770904E-4</v>
      </c>
      <c r="M9" s="28">
        <f>(1-$B$7)*I9/((1-$B$7)*I9+$B$7*$B$1)</f>
        <v>0.99979190070880242</v>
      </c>
      <c r="N9" s="29">
        <f>$R$3*($B$1/($B$6*(25+273)))*(($F$2-F9)^2+0.25*(($G$2-G9)^2+($H$2-H9)^2))</f>
        <v>2.819968730220618</v>
      </c>
      <c r="O9" s="29">
        <f>($B$1/($B$6*298.15))*($E$2-E9)^2</f>
        <v>5.6598002396910987</v>
      </c>
      <c r="P9" s="29">
        <f>EXP(LN(L9/$B$7)+1-L9/$B$7+IF($R$4=1,N9,O9)*((M9)^2))</f>
        <v>11.830103355906544</v>
      </c>
      <c r="R9" s="18">
        <f t="shared" ref="R9:R48" si="2">$R$2/P9</f>
        <v>3.5567666256476602E-2</v>
      </c>
      <c r="S9" s="19">
        <f t="shared" ref="S9:S48" si="3">R9*$B$4/(R9*$B$4+(1-R9)*D9)</f>
        <v>8.2296371605639185E-2</v>
      </c>
      <c r="T9" s="11">
        <f>1/S9-1</f>
        <v>11.151204001945052</v>
      </c>
      <c r="U9" s="10">
        <f>IF(T9&gt;10000,0,1)</f>
        <v>1</v>
      </c>
    </row>
    <row r="10" spans="1:28" x14ac:dyDescent="0.2">
      <c r="B10" s="23">
        <f>B9+1</f>
        <v>2</v>
      </c>
      <c r="C10" s="2" t="s">
        <v>51</v>
      </c>
      <c r="D10" s="24">
        <v>74.12</v>
      </c>
      <c r="E10" s="12">
        <f t="shared" si="0"/>
        <v>23.197629189208108</v>
      </c>
      <c r="F10" s="1">
        <v>16</v>
      </c>
      <c r="G10" s="1">
        <v>5.7</v>
      </c>
      <c r="H10" s="1">
        <v>15.8</v>
      </c>
      <c r="I10" s="1">
        <v>92</v>
      </c>
      <c r="K10" s="17">
        <f t="shared" si="1"/>
        <v>11.93116015201627</v>
      </c>
      <c r="L10" s="8">
        <f t="shared" ref="L10:L48" si="4">$B$7*$B$1/($B$7*$B$1+(1-$B$7)*I10)</f>
        <v>1.69878850131981E-4</v>
      </c>
      <c r="M10" s="28">
        <f t="shared" ref="M10:M48" si="5">(1-$B$7)*I10/((1-$B$7)*I10+$B$7*$B$1)</f>
        <v>0.99983012114986813</v>
      </c>
      <c r="N10" s="29">
        <f t="shared" ref="N10:N48" si="6">$R$3*($B$1/($B$6*(25+273)))*(($F$2-F10)^2+0.25*(($G$2-G10)^2+($H$2-H10)^2))</f>
        <v>2.244977083794832</v>
      </c>
      <c r="O10" s="29">
        <f t="shared" ref="O10:O48" si="7">($B$1/($B$6*298.15))*($E$2-E10)^2</f>
        <v>4.1116361889673714</v>
      </c>
      <c r="P10" s="29">
        <f t="shared" ref="P10:P47" si="8">EXP(LN(L10/$B$7)+1-L10/$B$7+IF($R$4=1,N10,O10)*((M10)^2))</f>
        <v>7.9672648222205655</v>
      </c>
      <c r="R10" s="18">
        <f t="shared" si="2"/>
        <v>5.2812248284880625E-2</v>
      </c>
      <c r="S10" s="19">
        <f t="shared" si="3"/>
        <v>9.9045579171734788E-2</v>
      </c>
      <c r="T10" s="11">
        <f t="shared" ref="T10:T48" si="9">1/S10-1</f>
        <v>9.096361779722681</v>
      </c>
      <c r="U10" s="10">
        <f t="shared" ref="U10:U48" si="10">IF(T10&gt;10000,0,1)</f>
        <v>1</v>
      </c>
    </row>
    <row r="11" spans="1:28" x14ac:dyDescent="0.2">
      <c r="B11" s="23">
        <f t="shared" ref="B11:B48" si="11">B10+1</f>
        <v>3</v>
      </c>
      <c r="C11" s="2" t="s">
        <v>49</v>
      </c>
      <c r="D11" s="24">
        <v>60.1</v>
      </c>
      <c r="E11" s="12">
        <f t="shared" si="0"/>
        <v>23.575623003433016</v>
      </c>
      <c r="F11" s="1">
        <v>15.8</v>
      </c>
      <c r="G11" s="1">
        <v>6.1</v>
      </c>
      <c r="H11" s="1">
        <v>16.399999999999999</v>
      </c>
      <c r="I11" s="1">
        <v>76.900000000000006</v>
      </c>
      <c r="K11" s="17">
        <f t="shared" si="1"/>
        <v>12.258244737296936</v>
      </c>
      <c r="L11" s="8">
        <f t="shared" si="4"/>
        <v>2.0322929641506516E-4</v>
      </c>
      <c r="M11" s="28">
        <f t="shared" si="5"/>
        <v>0.99979677070358497</v>
      </c>
      <c r="N11" s="29">
        <f t="shared" si="6"/>
        <v>2.3697533032243401</v>
      </c>
      <c r="O11" s="29">
        <f t="shared" si="7"/>
        <v>4.5055608492675763</v>
      </c>
      <c r="P11" s="29">
        <f t="shared" si="8"/>
        <v>7.7342763544191619</v>
      </c>
      <c r="R11" s="18">
        <f t="shared" si="2"/>
        <v>5.4403172147073769E-2</v>
      </c>
      <c r="S11" s="19">
        <f t="shared" si="3"/>
        <v>0.12272885750503343</v>
      </c>
      <c r="T11" s="11">
        <f t="shared" si="9"/>
        <v>7.1480429324373649</v>
      </c>
      <c r="U11" s="10">
        <f t="shared" si="10"/>
        <v>1</v>
      </c>
    </row>
    <row r="12" spans="1:28" x14ac:dyDescent="0.2">
      <c r="B12" s="23">
        <f t="shared" si="11"/>
        <v>4</v>
      </c>
      <c r="C12" s="2" t="s">
        <v>52</v>
      </c>
      <c r="D12" s="24">
        <v>74.12</v>
      </c>
      <c r="E12" s="12">
        <f t="shared" si="0"/>
        <v>22.189637221009271</v>
      </c>
      <c r="F12" s="1">
        <v>15.8</v>
      </c>
      <c r="G12" s="1">
        <v>5.7</v>
      </c>
      <c r="H12" s="1">
        <v>14.5</v>
      </c>
      <c r="I12" s="1">
        <v>92</v>
      </c>
      <c r="K12" s="17">
        <f t="shared" si="1"/>
        <v>10.620920968919634</v>
      </c>
      <c r="L12" s="8">
        <f t="shared" si="4"/>
        <v>1.69878850131981E-4</v>
      </c>
      <c r="M12" s="28">
        <f t="shared" si="5"/>
        <v>0.99983012114986813</v>
      </c>
      <c r="N12" s="29">
        <f t="shared" si="6"/>
        <v>1.7789793875585402</v>
      </c>
      <c r="O12" s="29">
        <f t="shared" si="7"/>
        <v>3.1492469915129537</v>
      </c>
      <c r="P12" s="29">
        <f t="shared" si="8"/>
        <v>5.0003197798504075</v>
      </c>
      <c r="R12" s="18">
        <f t="shared" si="2"/>
        <v>8.4148451792636303E-2</v>
      </c>
      <c r="S12" s="19">
        <f t="shared" si="3"/>
        <v>0.15337238422830712</v>
      </c>
      <c r="T12" s="11">
        <f t="shared" si="9"/>
        <v>5.5200785984484639</v>
      </c>
      <c r="U12" s="10">
        <f t="shared" si="10"/>
        <v>1</v>
      </c>
    </row>
    <row r="13" spans="1:28" x14ac:dyDescent="0.2">
      <c r="B13" s="23">
        <f t="shared" si="11"/>
        <v>5</v>
      </c>
      <c r="C13" s="2" t="s">
        <v>53</v>
      </c>
      <c r="D13" s="24">
        <v>58.08</v>
      </c>
      <c r="E13" s="12">
        <f t="shared" si="0"/>
        <v>19.935144845222471</v>
      </c>
      <c r="F13" s="1">
        <v>15.5</v>
      </c>
      <c r="G13" s="1">
        <v>10.4</v>
      </c>
      <c r="H13" s="1">
        <v>7</v>
      </c>
      <c r="I13" s="1">
        <v>73.8</v>
      </c>
      <c r="K13" s="17">
        <f t="shared" si="1"/>
        <v>7.2639741039922106</v>
      </c>
      <c r="L13" s="8">
        <f t="shared" si="4"/>
        <v>2.1176422060390892E-4</v>
      </c>
      <c r="M13" s="28">
        <f t="shared" si="5"/>
        <v>0.99978823577939613</v>
      </c>
      <c r="N13" s="29">
        <f t="shared" si="6"/>
        <v>0.83213758115135172</v>
      </c>
      <c r="O13" s="29">
        <f t="shared" si="7"/>
        <v>1.4605019415783802</v>
      </c>
      <c r="P13" s="29">
        <f>EXP(LN(L13/$B$7)+1-L13/$B$7+IF($R$4=1,N13,O13)*((M13)^2))</f>
        <v>1.5911329048754175</v>
      </c>
      <c r="R13" s="18">
        <f t="shared" si="2"/>
        <v>0.26444627388021569</v>
      </c>
      <c r="S13" s="19">
        <f t="shared" si="3"/>
        <v>0.47496051843301623</v>
      </c>
      <c r="T13" s="11">
        <f t="shared" si="9"/>
        <v>1.1054381599952507</v>
      </c>
      <c r="U13" s="10">
        <f t="shared" si="10"/>
        <v>1</v>
      </c>
    </row>
    <row r="14" spans="1:28" x14ac:dyDescent="0.2">
      <c r="B14" s="23">
        <f t="shared" si="11"/>
        <v>6</v>
      </c>
      <c r="C14" s="2" t="s">
        <v>54</v>
      </c>
      <c r="D14" s="24">
        <v>41.05</v>
      </c>
      <c r="E14" s="12">
        <f t="shared" si="0"/>
        <v>24.398770460824455</v>
      </c>
      <c r="F14" s="1">
        <v>15.3</v>
      </c>
      <c r="G14" s="1">
        <v>18</v>
      </c>
      <c r="H14" s="1">
        <v>6.1</v>
      </c>
      <c r="I14" s="1">
        <v>52.9</v>
      </c>
      <c r="K14" s="17">
        <f t="shared" si="1"/>
        <v>13.336926546507435</v>
      </c>
      <c r="L14" s="8">
        <f t="shared" si="4"/>
        <v>2.9540438673917414E-4</v>
      </c>
      <c r="M14" s="28">
        <f t="shared" si="5"/>
        <v>0.99970459561326086</v>
      </c>
      <c r="N14" s="29">
        <f t="shared" si="6"/>
        <v>2.8051628596129383</v>
      </c>
      <c r="O14" s="29">
        <f t="shared" si="7"/>
        <v>5.4257394885737549</v>
      </c>
      <c r="P14" s="29">
        <f t="shared" si="8"/>
        <v>6.9077015536481881</v>
      </c>
      <c r="R14" s="18">
        <f t="shared" si="2"/>
        <v>6.0913049684418623E-2</v>
      </c>
      <c r="S14" s="19">
        <f t="shared" si="3"/>
        <v>0.18759914380240891</v>
      </c>
      <c r="T14" s="11">
        <f t="shared" si="9"/>
        <v>4.3305147333362148</v>
      </c>
      <c r="U14" s="10">
        <f t="shared" si="10"/>
        <v>1</v>
      </c>
    </row>
    <row r="15" spans="1:28" x14ac:dyDescent="0.2">
      <c r="B15" s="23">
        <f t="shared" si="11"/>
        <v>7</v>
      </c>
      <c r="C15" s="2" t="s">
        <v>32</v>
      </c>
      <c r="D15" s="24">
        <v>108.14</v>
      </c>
      <c r="E15" s="12">
        <f t="shared" si="0"/>
        <v>19.59106939398664</v>
      </c>
      <c r="F15" s="1">
        <v>17.8</v>
      </c>
      <c r="G15" s="1">
        <v>4.4000000000000004</v>
      </c>
      <c r="H15" s="1">
        <v>6.9</v>
      </c>
      <c r="I15" s="1">
        <v>109.2</v>
      </c>
      <c r="K15" s="17">
        <f t="shared" si="1"/>
        <v>10.029712271787767</v>
      </c>
      <c r="L15" s="8">
        <f t="shared" si="4"/>
        <v>1.431252052381067E-4</v>
      </c>
      <c r="M15" s="28">
        <f t="shared" si="5"/>
        <v>0.99985687479476193</v>
      </c>
      <c r="N15" s="29">
        <f t="shared" si="6"/>
        <v>1.5864394842126162</v>
      </c>
      <c r="O15" s="29">
        <f t="shared" si="7"/>
        <v>1.2591431458179601</v>
      </c>
      <c r="P15" s="29">
        <f t="shared" si="8"/>
        <v>4.54161632616837</v>
      </c>
      <c r="R15" s="18">
        <f t="shared" si="2"/>
        <v>9.2647449217159769E-2</v>
      </c>
      <c r="S15" s="19">
        <f t="shared" si="3"/>
        <v>0.12125582216385894</v>
      </c>
      <c r="T15" s="11">
        <f t="shared" si="9"/>
        <v>7.2470266759533484</v>
      </c>
      <c r="U15" s="10">
        <f t="shared" si="10"/>
        <v>1</v>
      </c>
    </row>
    <row r="16" spans="1:28" x14ac:dyDescent="0.2">
      <c r="B16" s="23">
        <f t="shared" si="11"/>
        <v>8</v>
      </c>
      <c r="C16" s="2" t="s">
        <v>37</v>
      </c>
      <c r="D16" s="24">
        <v>108.14</v>
      </c>
      <c r="E16" s="12">
        <f t="shared" si="0"/>
        <v>23.789493479265168</v>
      </c>
      <c r="F16" s="1">
        <v>18.399999999999999</v>
      </c>
      <c r="G16" s="1">
        <v>6.3</v>
      </c>
      <c r="H16" s="1">
        <v>13.7</v>
      </c>
      <c r="I16" s="1">
        <v>103.8</v>
      </c>
      <c r="K16" s="17">
        <f t="shared" si="1"/>
        <v>13.710282498987437</v>
      </c>
      <c r="L16" s="8">
        <f t="shared" si="4"/>
        <v>1.5056990404739681E-4</v>
      </c>
      <c r="M16" s="28">
        <f t="shared" si="5"/>
        <v>0.99984943009595262</v>
      </c>
      <c r="N16" s="29">
        <f t="shared" si="6"/>
        <v>2.9644175012111647</v>
      </c>
      <c r="O16" s="29">
        <f t="shared" si="7"/>
        <v>4.7364261315894263</v>
      </c>
      <c r="P16" s="29">
        <f t="shared" si="8"/>
        <v>17.585647614460274</v>
      </c>
      <c r="R16" s="18">
        <f t="shared" si="2"/>
        <v>2.3926850871077331E-2</v>
      </c>
      <c r="S16" s="19">
        <f t="shared" si="3"/>
        <v>3.2065061773191399E-2</v>
      </c>
      <c r="T16" s="11">
        <f t="shared" si="9"/>
        <v>30.18659203195638</v>
      </c>
      <c r="U16" s="10">
        <f t="shared" si="10"/>
        <v>1</v>
      </c>
    </row>
    <row r="17" spans="2:21" x14ac:dyDescent="0.2">
      <c r="B17" s="23">
        <f t="shared" si="11"/>
        <v>9</v>
      </c>
      <c r="C17" s="2" t="s">
        <v>33</v>
      </c>
      <c r="D17" s="24">
        <v>204.27</v>
      </c>
      <c r="E17" s="12">
        <f t="shared" si="0"/>
        <v>18.440444680104655</v>
      </c>
      <c r="F17" s="1">
        <v>16</v>
      </c>
      <c r="G17" s="1">
        <v>4.0999999999999996</v>
      </c>
      <c r="H17" s="1">
        <v>8.1999999999999993</v>
      </c>
      <c r="I17" s="1">
        <v>208.2</v>
      </c>
      <c r="K17" s="17">
        <f t="shared" si="1"/>
        <v>6.9390327371569471</v>
      </c>
      <c r="L17" s="8">
        <f t="shared" si="4"/>
        <v>7.5073660712670045E-5</v>
      </c>
      <c r="M17" s="28">
        <f t="shared" si="5"/>
        <v>0.99992492633928731</v>
      </c>
      <c r="N17" s="29">
        <f t="shared" si="6"/>
        <v>0.75935426134677353</v>
      </c>
      <c r="O17" s="29">
        <f t="shared" si="7"/>
        <v>0.69421460097455845</v>
      </c>
      <c r="P17" s="29">
        <f t="shared" si="8"/>
        <v>2.0581411722748713</v>
      </c>
      <c r="R17" s="18">
        <f t="shared" si="2"/>
        <v>0.20444135398031518</v>
      </c>
      <c r="S17" s="19">
        <f t="shared" si="3"/>
        <v>0.15529761411226056</v>
      </c>
      <c r="T17" s="11">
        <f t="shared" si="9"/>
        <v>5.4392489589513353</v>
      </c>
      <c r="U17" s="10">
        <f t="shared" si="10"/>
        <v>1</v>
      </c>
    </row>
    <row r="18" spans="2:21" x14ac:dyDescent="0.2">
      <c r="B18" s="23">
        <f t="shared" si="11"/>
        <v>10</v>
      </c>
      <c r="C18" s="2" t="s">
        <v>55</v>
      </c>
      <c r="D18" s="24">
        <v>84.16</v>
      </c>
      <c r="E18" s="12">
        <f t="shared" si="0"/>
        <v>16.801190434013897</v>
      </c>
      <c r="F18" s="1">
        <v>16.8</v>
      </c>
      <c r="G18" s="1">
        <v>0</v>
      </c>
      <c r="H18" s="1">
        <v>0.2</v>
      </c>
      <c r="I18" s="1">
        <v>108.9</v>
      </c>
      <c r="K18" s="17">
        <f t="shared" si="1"/>
        <v>11.098590095988801</v>
      </c>
      <c r="L18" s="8">
        <f t="shared" si="4"/>
        <v>1.4351943296259654E-4</v>
      </c>
      <c r="M18" s="28">
        <f t="shared" si="5"/>
        <v>0.99985648056703746</v>
      </c>
      <c r="N18" s="29">
        <f t="shared" si="6"/>
        <v>1.9425946369910421</v>
      </c>
      <c r="O18" s="29">
        <f t="shared" si="7"/>
        <v>0.17773074538919376</v>
      </c>
      <c r="P18" s="29">
        <f t="shared" si="8"/>
        <v>6.4762588689388201</v>
      </c>
      <c r="R18" s="18">
        <f t="shared" si="2"/>
        <v>6.4971023619914955E-2</v>
      </c>
      <c r="S18" s="19">
        <f t="shared" si="3"/>
        <v>0.10766752155264522</v>
      </c>
      <c r="T18" s="11">
        <f t="shared" si="9"/>
        <v>8.2878519499591068</v>
      </c>
      <c r="U18" s="10">
        <f t="shared" si="10"/>
        <v>1</v>
      </c>
    </row>
    <row r="19" spans="2:21" x14ac:dyDescent="0.2">
      <c r="B19" s="23">
        <f t="shared" si="11"/>
        <v>11</v>
      </c>
      <c r="C19" s="2" t="s">
        <v>220</v>
      </c>
      <c r="D19" s="24">
        <v>100.16</v>
      </c>
      <c r="E19" s="12">
        <f t="shared" si="0"/>
        <v>22.407367092097186</v>
      </c>
      <c r="F19" s="1">
        <v>17.399999999999999</v>
      </c>
      <c r="G19" s="1">
        <v>4.0999999999999996</v>
      </c>
      <c r="H19" s="1">
        <v>13.51</v>
      </c>
      <c r="I19" s="1">
        <v>105.7</v>
      </c>
      <c r="K19" s="17">
        <f t="shared" si="1"/>
        <v>12.098462187719157</v>
      </c>
      <c r="L19" s="8">
        <f t="shared" si="4"/>
        <v>1.4786374968209963E-4</v>
      </c>
      <c r="M19" s="28">
        <f t="shared" si="5"/>
        <v>0.99985213625031799</v>
      </c>
      <c r="N19" s="29">
        <f t="shared" si="6"/>
        <v>2.3083778829811004</v>
      </c>
      <c r="O19" s="29">
        <f t="shared" si="7"/>
        <v>3.3462778141811929</v>
      </c>
      <c r="P19" s="29">
        <f t="shared" si="8"/>
        <v>9.2089776458211929</v>
      </c>
      <c r="R19" s="18">
        <f t="shared" si="2"/>
        <v>4.5691192239286464E-2</v>
      </c>
      <c r="S19" s="19">
        <f t="shared" si="3"/>
        <v>6.5296824820021651E-2</v>
      </c>
      <c r="T19" s="11">
        <f t="shared" si="9"/>
        <v>14.314680350174926</v>
      </c>
      <c r="U19" s="10">
        <f t="shared" si="10"/>
        <v>1</v>
      </c>
    </row>
    <row r="20" spans="2:21" x14ac:dyDescent="0.2">
      <c r="B20" s="23">
        <f t="shared" si="11"/>
        <v>12</v>
      </c>
      <c r="C20" s="2" t="s">
        <v>38</v>
      </c>
      <c r="D20" s="24">
        <v>128.1</v>
      </c>
      <c r="E20" s="12">
        <f t="shared" si="0"/>
        <v>23.851834311012642</v>
      </c>
      <c r="F20" s="1">
        <v>18.899999999999999</v>
      </c>
      <c r="G20" s="1">
        <v>12.7</v>
      </c>
      <c r="H20" s="1">
        <v>7.1</v>
      </c>
      <c r="I20" s="1">
        <v>101.6</v>
      </c>
      <c r="K20" s="17">
        <f t="shared" si="1"/>
        <v>14.088389872983283</v>
      </c>
      <c r="L20" s="8">
        <f t="shared" si="4"/>
        <v>1.5382977444315115E-4</v>
      </c>
      <c r="M20" s="28">
        <f t="shared" si="5"/>
        <v>0.99984617022555689</v>
      </c>
      <c r="N20" s="29">
        <f t="shared" si="6"/>
        <v>3.1301798011563697</v>
      </c>
      <c r="O20" s="29">
        <f t="shared" si="7"/>
        <v>4.8048064382970033</v>
      </c>
      <c r="P20" s="29">
        <f t="shared" si="8"/>
        <v>20.524012567175827</v>
      </c>
      <c r="R20" s="18">
        <f t="shared" si="2"/>
        <v>2.0501311162489072E-2</v>
      </c>
      <c r="S20" s="19">
        <f t="shared" si="3"/>
        <v>2.3321127574265015E-2</v>
      </c>
      <c r="T20" s="11">
        <f t="shared" si="9"/>
        <v>41.879573331758849</v>
      </c>
      <c r="U20" s="10">
        <f t="shared" si="10"/>
        <v>1</v>
      </c>
    </row>
    <row r="21" spans="2:21" x14ac:dyDescent="0.2">
      <c r="B21" s="23">
        <f t="shared" si="11"/>
        <v>13</v>
      </c>
      <c r="C21" s="2" t="s">
        <v>31</v>
      </c>
      <c r="D21" s="24">
        <v>116.16</v>
      </c>
      <c r="E21" s="12">
        <f t="shared" si="0"/>
        <v>20.821143100223868</v>
      </c>
      <c r="F21" s="1">
        <v>15.8</v>
      </c>
      <c r="G21" s="1">
        <v>8.1999999999999993</v>
      </c>
      <c r="H21" s="1">
        <v>10.8</v>
      </c>
      <c r="I21" s="1">
        <v>124.3</v>
      </c>
      <c r="K21" s="17">
        <f t="shared" si="1"/>
        <v>8.235189604249527</v>
      </c>
      <c r="L21" s="8">
        <f t="shared" si="4"/>
        <v>1.2574050009000781E-4</v>
      </c>
      <c r="M21" s="28">
        <f t="shared" si="5"/>
        <v>0.99987425949991005</v>
      </c>
      <c r="N21" s="29">
        <f t="shared" si="6"/>
        <v>1.0695319604332461</v>
      </c>
      <c r="O21" s="29">
        <f t="shared" si="7"/>
        <v>2.0477182347180638</v>
      </c>
      <c r="P21" s="29">
        <f t="shared" si="8"/>
        <v>2.8317873468136243</v>
      </c>
      <c r="R21" s="18">
        <f t="shared" si="2"/>
        <v>0.14858784096763639</v>
      </c>
      <c r="S21" s="19">
        <f t="shared" si="3"/>
        <v>0.18003306110466036</v>
      </c>
      <c r="T21" s="11">
        <f t="shared" si="9"/>
        <v>4.5545353384768612</v>
      </c>
      <c r="U21" s="10">
        <f t="shared" si="10"/>
        <v>1</v>
      </c>
    </row>
    <row r="22" spans="2:21" x14ac:dyDescent="0.2">
      <c r="B22" s="23">
        <f t="shared" si="11"/>
        <v>14</v>
      </c>
      <c r="C22" s="2" t="s">
        <v>39</v>
      </c>
      <c r="D22" s="24">
        <v>162.22999999999999</v>
      </c>
      <c r="E22" s="12">
        <f t="shared" si="0"/>
        <v>20.42939059296679</v>
      </c>
      <c r="F22" s="1">
        <v>16</v>
      </c>
      <c r="G22" s="1">
        <v>7</v>
      </c>
      <c r="H22" s="1">
        <v>10.6</v>
      </c>
      <c r="I22" s="1">
        <v>170.4</v>
      </c>
      <c r="K22" s="17">
        <f t="shared" si="1"/>
        <v>8.1151159416341336</v>
      </c>
      <c r="L22" s="8">
        <f t="shared" si="4"/>
        <v>9.1725797314222451E-5</v>
      </c>
      <c r="M22" s="28">
        <f t="shared" si="5"/>
        <v>0.9999082742026858</v>
      </c>
      <c r="N22" s="29">
        <f t="shared" si="6"/>
        <v>1.0385705887711782</v>
      </c>
      <c r="O22" s="29">
        <f t="shared" si="7"/>
        <v>1.7758670477992955</v>
      </c>
      <c r="P22" s="29">
        <f t="shared" si="8"/>
        <v>2.814418233409937</v>
      </c>
      <c r="R22" s="18">
        <f t="shared" si="2"/>
        <v>0.14950484719987964</v>
      </c>
      <c r="S22" s="19">
        <f t="shared" si="3"/>
        <v>0.1367039651608602</v>
      </c>
      <c r="T22" s="11">
        <f t="shared" si="9"/>
        <v>6.3150767706210669</v>
      </c>
      <c r="U22" s="10">
        <f t="shared" si="10"/>
        <v>1</v>
      </c>
    </row>
    <row r="23" spans="2:21" x14ac:dyDescent="0.2">
      <c r="B23" s="23">
        <f t="shared" si="11"/>
        <v>15</v>
      </c>
      <c r="C23" s="2" t="s">
        <v>30</v>
      </c>
      <c r="D23" s="24">
        <v>174.19</v>
      </c>
      <c r="E23" s="12">
        <f t="shared" si="0"/>
        <v>20.406371554002444</v>
      </c>
      <c r="F23" s="1">
        <v>17.600000000000001</v>
      </c>
      <c r="G23" s="1">
        <v>7.1</v>
      </c>
      <c r="H23" s="1">
        <v>7.5</v>
      </c>
      <c r="I23" s="1">
        <v>150.1</v>
      </c>
      <c r="K23" s="17">
        <f t="shared" si="1"/>
        <v>9.7742403941153562</v>
      </c>
      <c r="L23" s="8">
        <f t="shared" si="4"/>
        <v>1.0412979326556151E-4</v>
      </c>
      <c r="M23" s="28">
        <f t="shared" si="5"/>
        <v>0.99989587020673443</v>
      </c>
      <c r="N23" s="29">
        <f t="shared" si="6"/>
        <v>1.5066507562691207</v>
      </c>
      <c r="O23" s="29">
        <f t="shared" si="7"/>
        <v>1.760495289746852</v>
      </c>
      <c r="P23" s="29">
        <f t="shared" si="8"/>
        <v>4.5064378723526426</v>
      </c>
      <c r="R23" s="18">
        <f t="shared" si="2"/>
        <v>9.3370679872002746E-2</v>
      </c>
      <c r="S23" s="19">
        <f t="shared" si="3"/>
        <v>7.9530893564831284E-2</v>
      </c>
      <c r="T23" s="11">
        <f t="shared" si="9"/>
        <v>11.573730222015284</v>
      </c>
      <c r="U23" s="10">
        <f t="shared" si="10"/>
        <v>1</v>
      </c>
    </row>
    <row r="24" spans="2:21" x14ac:dyDescent="0.2">
      <c r="B24" s="23">
        <f t="shared" si="11"/>
        <v>16</v>
      </c>
      <c r="C24" s="2" t="s">
        <v>56</v>
      </c>
      <c r="D24" s="24">
        <v>78.14</v>
      </c>
      <c r="E24" s="12">
        <f t="shared" si="0"/>
        <v>26.675082005497188</v>
      </c>
      <c r="F24" s="1">
        <v>18.399999999999999</v>
      </c>
      <c r="G24" s="1">
        <v>16.399999999999999</v>
      </c>
      <c r="H24" s="1">
        <v>10.199999999999999</v>
      </c>
      <c r="I24" s="1">
        <v>71.3</v>
      </c>
      <c r="K24" s="17">
        <f t="shared" si="1"/>
        <v>16.129027425069619</v>
      </c>
      <c r="L24" s="8">
        <f t="shared" si="4"/>
        <v>2.1918770603484073E-4</v>
      </c>
      <c r="M24" s="28">
        <f t="shared" si="5"/>
        <v>0.9997808122939652</v>
      </c>
      <c r="N24" s="29">
        <f t="shared" si="6"/>
        <v>4.1026353933591766</v>
      </c>
      <c r="O24" s="29">
        <f t="shared" si="7"/>
        <v>8.4152204663059713</v>
      </c>
      <c r="P24" s="29">
        <f t="shared" si="8"/>
        <v>40.19402358523611</v>
      </c>
      <c r="R24" s="18">
        <f t="shared" si="2"/>
        <v>1.0468451038503716E-2</v>
      </c>
      <c r="S24" s="19">
        <f t="shared" si="3"/>
        <v>1.9401692466936845E-2</v>
      </c>
      <c r="T24" s="11">
        <f t="shared" si="9"/>
        <v>50.541895208582325</v>
      </c>
      <c r="U24" s="10">
        <f t="shared" si="10"/>
        <v>1</v>
      </c>
    </row>
    <row r="25" spans="2:21" x14ac:dyDescent="0.2">
      <c r="B25" s="23">
        <f t="shared" si="11"/>
        <v>17</v>
      </c>
      <c r="C25" s="2" t="s">
        <v>40</v>
      </c>
      <c r="D25" s="24">
        <v>134.18</v>
      </c>
      <c r="E25" s="12">
        <f t="shared" si="0"/>
        <v>26.417797031546744</v>
      </c>
      <c r="F25" s="1">
        <v>16.5</v>
      </c>
      <c r="G25" s="1">
        <v>10.6</v>
      </c>
      <c r="H25" s="1">
        <v>17.7</v>
      </c>
      <c r="I25" s="1">
        <v>131.80000000000001</v>
      </c>
      <c r="K25" s="17">
        <f t="shared" si="1"/>
        <v>14.936532014437603</v>
      </c>
      <c r="L25" s="8">
        <f t="shared" si="4"/>
        <v>1.185861608066138E-4</v>
      </c>
      <c r="M25" s="28">
        <f t="shared" si="5"/>
        <v>0.99988141383919338</v>
      </c>
      <c r="N25" s="29">
        <f t="shared" si="6"/>
        <v>3.5184072729130635</v>
      </c>
      <c r="O25" s="29">
        <f t="shared" si="7"/>
        <v>8.044575493621311</v>
      </c>
      <c r="P25" s="29">
        <f t="shared" si="8"/>
        <v>33.187750642817882</v>
      </c>
      <c r="R25" s="18">
        <f t="shared" si="2"/>
        <v>1.2678447915046208E-2</v>
      </c>
      <c r="S25" s="19">
        <f t="shared" si="3"/>
        <v>1.3792941542236013E-2</v>
      </c>
      <c r="T25" s="11">
        <f t="shared" si="9"/>
        <v>71.500851028611493</v>
      </c>
      <c r="U25" s="10">
        <f t="shared" si="10"/>
        <v>1</v>
      </c>
    </row>
    <row r="26" spans="2:21" x14ac:dyDescent="0.2">
      <c r="B26" s="23">
        <f t="shared" si="11"/>
        <v>18</v>
      </c>
      <c r="C26" s="2" t="s">
        <v>41</v>
      </c>
      <c r="D26" s="24">
        <v>136.24</v>
      </c>
      <c r="E26" s="12">
        <f t="shared" si="0"/>
        <v>17.820493820318223</v>
      </c>
      <c r="F26" s="1">
        <v>17.2</v>
      </c>
      <c r="G26" s="1">
        <v>1.8</v>
      </c>
      <c r="H26" s="1">
        <v>4.3</v>
      </c>
      <c r="I26" s="1">
        <v>162.9</v>
      </c>
      <c r="K26" s="17">
        <f t="shared" si="1"/>
        <v>9.5704061304801549</v>
      </c>
      <c r="L26" s="8">
        <f t="shared" si="4"/>
        <v>9.5948495120944661E-5</v>
      </c>
      <c r="M26" s="28">
        <f t="shared" si="5"/>
        <v>0.99990405150487904</v>
      </c>
      <c r="N26" s="29">
        <f t="shared" si="6"/>
        <v>1.444465912311101</v>
      </c>
      <c r="O26" s="29">
        <f t="shared" si="7"/>
        <v>0.45904246538728255</v>
      </c>
      <c r="P26" s="29">
        <f t="shared" si="8"/>
        <v>4.2348382683741601</v>
      </c>
      <c r="R26" s="18">
        <f t="shared" si="2"/>
        <v>9.9358969877272219E-2</v>
      </c>
      <c r="S26" s="19">
        <f t="shared" si="3"/>
        <v>0.10581499220854941</v>
      </c>
      <c r="T26" s="11">
        <f t="shared" si="9"/>
        <v>8.4504566803644696</v>
      </c>
      <c r="U26" s="10">
        <f t="shared" si="10"/>
        <v>1</v>
      </c>
    </row>
    <row r="27" spans="2:21" x14ac:dyDescent="0.2">
      <c r="B27" s="23">
        <f t="shared" si="11"/>
        <v>19</v>
      </c>
      <c r="C27" s="2" t="s">
        <v>57</v>
      </c>
      <c r="D27" s="24">
        <v>46.07</v>
      </c>
      <c r="E27" s="12">
        <f t="shared" si="0"/>
        <v>26.522443326360413</v>
      </c>
      <c r="F27" s="1">
        <v>15.8</v>
      </c>
      <c r="G27" s="1">
        <v>8.8000000000000007</v>
      </c>
      <c r="H27" s="1">
        <v>19.399999999999999</v>
      </c>
      <c r="I27" s="1">
        <v>58.6</v>
      </c>
      <c r="K27" s="17">
        <f t="shared" si="1"/>
        <v>15.28858140938584</v>
      </c>
      <c r="L27" s="8">
        <f t="shared" si="4"/>
        <v>2.6667817564076832E-4</v>
      </c>
      <c r="M27" s="28">
        <f t="shared" si="5"/>
        <v>0.99973332182435926</v>
      </c>
      <c r="N27" s="29">
        <f t="shared" si="6"/>
        <v>3.686217375603182</v>
      </c>
      <c r="O27" s="29">
        <f t="shared" si="7"/>
        <v>8.1943219342681015</v>
      </c>
      <c r="P27" s="29">
        <f t="shared" si="8"/>
        <v>20.052267199326277</v>
      </c>
      <c r="R27" s="18">
        <f t="shared" si="2"/>
        <v>2.0983620642988685E-2</v>
      </c>
      <c r="S27" s="19">
        <f t="shared" si="3"/>
        <v>6.3661139396625335E-2</v>
      </c>
      <c r="T27" s="11">
        <f t="shared" si="9"/>
        <v>14.708169999436262</v>
      </c>
      <c r="U27" s="10">
        <f t="shared" si="10"/>
        <v>1</v>
      </c>
    </row>
    <row r="28" spans="2:21" x14ac:dyDescent="0.2">
      <c r="B28" s="23">
        <f t="shared" si="11"/>
        <v>20</v>
      </c>
      <c r="C28" s="2" t="s">
        <v>50</v>
      </c>
      <c r="D28" s="24">
        <v>88.11</v>
      </c>
      <c r="E28" s="12">
        <f t="shared" si="0"/>
        <v>18.154062906137568</v>
      </c>
      <c r="F28" s="1">
        <v>15.8</v>
      </c>
      <c r="G28" s="1">
        <v>5.3</v>
      </c>
      <c r="H28" s="1">
        <v>7.2</v>
      </c>
      <c r="I28" s="1">
        <v>98.6</v>
      </c>
      <c r="K28" s="17">
        <f t="shared" si="1"/>
        <v>6.08668367080121</v>
      </c>
      <c r="L28" s="8">
        <f t="shared" si="4"/>
        <v>1.5850945165319042E-4</v>
      </c>
      <c r="M28" s="28">
        <f t="shared" si="5"/>
        <v>0.99984149054834692</v>
      </c>
      <c r="N28" s="29">
        <f t="shared" si="6"/>
        <v>0.58426251675172658</v>
      </c>
      <c r="O28" s="29">
        <f t="shared" si="7"/>
        <v>0.57955546221449328</v>
      </c>
      <c r="P28" s="29">
        <f t="shared" si="8"/>
        <v>1.5834829664982839</v>
      </c>
      <c r="R28" s="18">
        <f t="shared" si="2"/>
        <v>0.26572383590143517</v>
      </c>
      <c r="S28" s="19">
        <f t="shared" si="3"/>
        <v>0.37508836625782899</v>
      </c>
      <c r="T28" s="11">
        <f t="shared" si="9"/>
        <v>1.6660384324279951</v>
      </c>
      <c r="U28" s="10">
        <f t="shared" si="10"/>
        <v>1</v>
      </c>
    </row>
    <row r="29" spans="2:21" x14ac:dyDescent="0.2">
      <c r="B29" s="23">
        <f t="shared" si="11"/>
        <v>21</v>
      </c>
      <c r="C29" s="2" t="s">
        <v>221</v>
      </c>
      <c r="D29" s="24">
        <v>118.13</v>
      </c>
      <c r="E29" s="12">
        <f t="shared" si="0"/>
        <v>21.67971402025405</v>
      </c>
      <c r="F29" s="1">
        <v>16</v>
      </c>
      <c r="G29" s="1">
        <v>7.6</v>
      </c>
      <c r="H29" s="1">
        <v>12.5</v>
      </c>
      <c r="I29" s="1">
        <v>115</v>
      </c>
      <c r="K29" s="17">
        <f t="shared" si="1"/>
        <v>9.5024908129305992</v>
      </c>
      <c r="L29" s="8">
        <f t="shared" si="4"/>
        <v>1.359076976742658E-4</v>
      </c>
      <c r="M29" s="28">
        <f t="shared" si="5"/>
        <v>0.99986409230232576</v>
      </c>
      <c r="N29" s="29">
        <f t="shared" si="6"/>
        <v>1.4240376719379124</v>
      </c>
      <c r="O29" s="29">
        <f t="shared" si="7"/>
        <v>2.7111956290021038</v>
      </c>
      <c r="P29" s="29">
        <f t="shared" si="8"/>
        <v>3.9407829502099472</v>
      </c>
      <c r="R29" s="18">
        <f t="shared" si="2"/>
        <v>0.10677298731210028</v>
      </c>
      <c r="S29" s="19">
        <f t="shared" si="3"/>
        <v>0.1288285396337347</v>
      </c>
      <c r="T29" s="11">
        <f t="shared" si="9"/>
        <v>6.7622551869565921</v>
      </c>
      <c r="U29" s="10">
        <f t="shared" si="10"/>
        <v>1</v>
      </c>
    </row>
    <row r="30" spans="2:21" x14ac:dyDescent="0.2">
      <c r="B30" s="23">
        <f t="shared" si="11"/>
        <v>22</v>
      </c>
      <c r="C30" s="2" t="s">
        <v>42</v>
      </c>
      <c r="D30" s="24">
        <v>88.06</v>
      </c>
      <c r="E30" s="12">
        <f t="shared" si="0"/>
        <v>28.651352498616884</v>
      </c>
      <c r="F30" s="1">
        <v>18</v>
      </c>
      <c r="G30" s="1">
        <v>21.7</v>
      </c>
      <c r="H30" s="1">
        <v>5.0999999999999996</v>
      </c>
      <c r="I30" s="1">
        <v>66</v>
      </c>
      <c r="K30" s="17">
        <f t="shared" si="1"/>
        <v>19.113636288275991</v>
      </c>
      <c r="L30" s="8">
        <f t="shared" si="4"/>
        <v>2.3678497527878338E-4</v>
      </c>
      <c r="M30" s="28">
        <f t="shared" si="5"/>
        <v>0.99976321502472132</v>
      </c>
      <c r="N30" s="29">
        <f t="shared" si="6"/>
        <v>5.7614685668040071</v>
      </c>
      <c r="O30" s="29">
        <f t="shared" si="7"/>
        <v>11.540549063165686</v>
      </c>
      <c r="P30" s="29">
        <f t="shared" si="8"/>
        <v>191.11454200807881</v>
      </c>
      <c r="R30" s="18">
        <f t="shared" si="2"/>
        <v>2.2016596095796887E-3</v>
      </c>
      <c r="S30" s="19">
        <f t="shared" si="3"/>
        <v>3.6484669220799401E-3</v>
      </c>
      <c r="T30" s="11">
        <f t="shared" si="9"/>
        <v>273.08772543562321</v>
      </c>
      <c r="U30" s="10">
        <f t="shared" si="10"/>
        <v>1</v>
      </c>
    </row>
    <row r="31" spans="2:21" x14ac:dyDescent="0.2">
      <c r="B31" s="23">
        <f t="shared" si="11"/>
        <v>23</v>
      </c>
      <c r="C31" s="2" t="s">
        <v>43</v>
      </c>
      <c r="D31" s="24">
        <v>118</v>
      </c>
      <c r="E31" s="12">
        <f t="shared" si="0"/>
        <v>35.68501085890265</v>
      </c>
      <c r="F31" s="1">
        <v>17.899999999999999</v>
      </c>
      <c r="G31" s="1">
        <v>25.5</v>
      </c>
      <c r="H31" s="1">
        <v>17.399999999999999</v>
      </c>
      <c r="I31" s="1">
        <v>83.2</v>
      </c>
      <c r="K31" s="17">
        <f t="shared" si="1"/>
        <v>25.213156911839828</v>
      </c>
      <c r="L31" s="8">
        <f t="shared" si="4"/>
        <v>1.8784343027204308E-4</v>
      </c>
      <c r="M31" s="28">
        <f t="shared" si="5"/>
        <v>0.99981215656972799</v>
      </c>
      <c r="N31" s="29">
        <f t="shared" si="6"/>
        <v>10.025383966889287</v>
      </c>
      <c r="O31" s="29">
        <f t="shared" si="7"/>
        <v>26.659449547801092</v>
      </c>
      <c r="P31" s="29">
        <f t="shared" si="8"/>
        <v>17564.27388392502</v>
      </c>
      <c r="R31" s="18">
        <f t="shared" si="2"/>
        <v>2.3955967136654565E-5</v>
      </c>
      <c r="S31" s="19">
        <f t="shared" si="3"/>
        <v>2.9668686754817193E-5</v>
      </c>
      <c r="T31" s="11">
        <f t="shared" si="9"/>
        <v>33704.5700599095</v>
      </c>
      <c r="U31" s="10">
        <f t="shared" si="10"/>
        <v>0</v>
      </c>
    </row>
    <row r="32" spans="2:21" x14ac:dyDescent="0.2">
      <c r="B32" s="23">
        <f t="shared" si="11"/>
        <v>24</v>
      </c>
      <c r="C32" s="2" t="s">
        <v>58</v>
      </c>
      <c r="D32" s="24">
        <v>100.2</v>
      </c>
      <c r="E32" s="12">
        <f t="shared" si="0"/>
        <v>15.3</v>
      </c>
      <c r="F32" s="1">
        <v>15.3</v>
      </c>
      <c r="G32" s="1">
        <v>0</v>
      </c>
      <c r="H32" s="1">
        <v>0</v>
      </c>
      <c r="I32" s="1">
        <v>147</v>
      </c>
      <c r="K32" s="17">
        <f t="shared" si="1"/>
        <v>9.3338219268076603</v>
      </c>
      <c r="L32" s="8">
        <f t="shared" si="4"/>
        <v>1.0632549419755389E-4</v>
      </c>
      <c r="M32" s="28">
        <f t="shared" si="5"/>
        <v>0.99989367450580247</v>
      </c>
      <c r="N32" s="29">
        <f t="shared" si="6"/>
        <v>1.373933091370203</v>
      </c>
      <c r="O32" s="29">
        <f t="shared" si="7"/>
        <v>1.9922545866767455E-3</v>
      </c>
      <c r="P32" s="29">
        <f t="shared" si="8"/>
        <v>3.9421288704135717</v>
      </c>
      <c r="R32" s="18">
        <f t="shared" si="2"/>
        <v>0.10673653291764776</v>
      </c>
      <c r="S32" s="19">
        <f t="shared" si="3"/>
        <v>0.14841066600653316</v>
      </c>
      <c r="T32" s="11">
        <f t="shared" si="9"/>
        <v>5.7380601873721071</v>
      </c>
      <c r="U32" s="10">
        <f t="shared" si="10"/>
        <v>1</v>
      </c>
    </row>
    <row r="33" spans="2:21" x14ac:dyDescent="0.2">
      <c r="B33" s="23">
        <f t="shared" si="11"/>
        <v>25</v>
      </c>
      <c r="C33" s="2" t="s">
        <v>59</v>
      </c>
      <c r="D33" s="24">
        <v>86.18</v>
      </c>
      <c r="E33" s="12">
        <f t="shared" si="0"/>
        <v>14.900671125825172</v>
      </c>
      <c r="F33" s="1">
        <v>14.9</v>
      </c>
      <c r="G33" s="1">
        <v>0.1</v>
      </c>
      <c r="H33" s="1">
        <v>0.1</v>
      </c>
      <c r="I33" s="1">
        <v>127.5</v>
      </c>
      <c r="K33" s="17">
        <f t="shared" si="1"/>
        <v>8.8159868291376355</v>
      </c>
      <c r="L33" s="8">
        <f t="shared" si="4"/>
        <v>1.2258504694654364E-4</v>
      </c>
      <c r="M33" s="28">
        <f t="shared" si="5"/>
        <v>0.99987741495305349</v>
      </c>
      <c r="N33" s="29">
        <f t="shared" si="6"/>
        <v>1.225711969031914</v>
      </c>
      <c r="O33" s="29">
        <f t="shared" si="7"/>
        <v>3.0953839885663045E-3</v>
      </c>
      <c r="P33" s="29">
        <f t="shared" si="8"/>
        <v>3.3307445712347015</v>
      </c>
      <c r="R33" s="18">
        <f t="shared" si="2"/>
        <v>0.12632886099294291</v>
      </c>
      <c r="S33" s="19">
        <f t="shared" si="3"/>
        <v>0.19691497042995193</v>
      </c>
      <c r="T33" s="11">
        <f t="shared" si="9"/>
        <v>4.0783340536098418</v>
      </c>
      <c r="U33" s="10">
        <f t="shared" si="10"/>
        <v>1</v>
      </c>
    </row>
    <row r="34" spans="2:21" x14ac:dyDescent="0.2">
      <c r="B34" s="23">
        <f t="shared" si="11"/>
        <v>26</v>
      </c>
      <c r="C34" s="2" t="s">
        <v>35</v>
      </c>
      <c r="D34" s="24">
        <v>144.21</v>
      </c>
      <c r="E34" s="12">
        <f t="shared" si="0"/>
        <v>16.416150584104667</v>
      </c>
      <c r="F34" s="1">
        <v>15.1</v>
      </c>
      <c r="G34" s="1">
        <v>2.8</v>
      </c>
      <c r="H34" s="1">
        <v>5.8</v>
      </c>
      <c r="I34" s="1">
        <v>169.8</v>
      </c>
      <c r="K34" s="17">
        <f t="shared" si="1"/>
        <v>5.2829647226723848</v>
      </c>
      <c r="L34" s="8">
        <f t="shared" si="4"/>
        <v>9.2049886904204604E-5</v>
      </c>
      <c r="M34" s="28">
        <f t="shared" si="5"/>
        <v>0.99990795011309586</v>
      </c>
      <c r="N34" s="29">
        <f t="shared" si="6"/>
        <v>0.44015129398165403</v>
      </c>
      <c r="O34" s="29">
        <f t="shared" si="7"/>
        <v>0.10555893220407603</v>
      </c>
      <c r="P34" s="29">
        <f t="shared" si="8"/>
        <v>1.5476410833315351</v>
      </c>
      <c r="R34" s="18">
        <f t="shared" si="2"/>
        <v>0.27187774508850432</v>
      </c>
      <c r="S34" s="19">
        <f t="shared" si="3"/>
        <v>0.27451749349417676</v>
      </c>
      <c r="T34" s="11">
        <f t="shared" si="9"/>
        <v>2.6427551019484032</v>
      </c>
      <c r="U34" s="10">
        <f t="shared" si="10"/>
        <v>1</v>
      </c>
    </row>
    <row r="35" spans="2:21" x14ac:dyDescent="0.2">
      <c r="B35" s="23">
        <f t="shared" si="11"/>
        <v>27</v>
      </c>
      <c r="C35" s="2" t="s">
        <v>44</v>
      </c>
      <c r="D35" s="24">
        <v>102.13</v>
      </c>
      <c r="E35" s="12">
        <f t="shared" si="0"/>
        <v>17.592612085759182</v>
      </c>
      <c r="F35" s="1">
        <v>14.9</v>
      </c>
      <c r="G35" s="1">
        <v>4.5</v>
      </c>
      <c r="H35" s="1">
        <v>8.1999999999999993</v>
      </c>
      <c r="I35" s="1">
        <v>117.1</v>
      </c>
      <c r="K35" s="17">
        <f t="shared" si="1"/>
        <v>4.931611832150085</v>
      </c>
      <c r="L35" s="8">
        <f t="shared" si="4"/>
        <v>1.3347073719822226E-4</v>
      </c>
      <c r="M35" s="28">
        <f t="shared" si="5"/>
        <v>0.99986652926280184</v>
      </c>
      <c r="N35" s="29">
        <f t="shared" si="6"/>
        <v>0.38355207217322068</v>
      </c>
      <c r="O35" s="29">
        <f t="shared" si="7"/>
        <v>0.38477950925075288</v>
      </c>
      <c r="P35" s="29">
        <f t="shared" si="8"/>
        <v>1.4013756928181966</v>
      </c>
      <c r="R35" s="18">
        <f t="shared" si="2"/>
        <v>0.30025436440697212</v>
      </c>
      <c r="S35" s="19">
        <f t="shared" si="3"/>
        <v>0.38041943051527449</v>
      </c>
      <c r="T35" s="11">
        <f t="shared" si="9"/>
        <v>1.6286775064184011</v>
      </c>
      <c r="U35" s="10">
        <f t="shared" si="10"/>
        <v>1</v>
      </c>
    </row>
    <row r="36" spans="2:21" x14ac:dyDescent="0.2">
      <c r="B36" s="23">
        <f t="shared" si="11"/>
        <v>28</v>
      </c>
      <c r="C36" s="2" t="s">
        <v>60</v>
      </c>
      <c r="D36" s="24">
        <v>32.04</v>
      </c>
      <c r="E36" s="12">
        <f t="shared" si="0"/>
        <v>29.405271636221965</v>
      </c>
      <c r="F36" s="1">
        <v>14.7</v>
      </c>
      <c r="G36" s="1">
        <v>12.3</v>
      </c>
      <c r="H36" s="1">
        <v>22.3</v>
      </c>
      <c r="I36" s="1">
        <v>40.6</v>
      </c>
      <c r="K36" s="17">
        <f t="shared" si="1"/>
        <v>18.316984929638725</v>
      </c>
      <c r="L36" s="8">
        <f t="shared" si="4"/>
        <v>3.8486437595604289E-4</v>
      </c>
      <c r="M36" s="28">
        <f t="shared" si="5"/>
        <v>0.99961513562404392</v>
      </c>
      <c r="N36" s="29">
        <f t="shared" si="6"/>
        <v>5.291204389086877</v>
      </c>
      <c r="O36" s="29">
        <f t="shared" si="7"/>
        <v>12.862596901869479</v>
      </c>
      <c r="P36" s="29">
        <f t="shared" si="8"/>
        <v>44.088961152032013</v>
      </c>
      <c r="R36" s="18">
        <f t="shared" si="2"/>
        <v>9.5436398805489892E-3</v>
      </c>
      <c r="S36" s="19">
        <f t="shared" si="3"/>
        <v>4.2099384470805447E-2</v>
      </c>
      <c r="T36" s="11">
        <f t="shared" si="9"/>
        <v>22.753316409969543</v>
      </c>
      <c r="U36" s="10">
        <f t="shared" si="10"/>
        <v>1</v>
      </c>
    </row>
    <row r="37" spans="2:21" x14ac:dyDescent="0.2">
      <c r="B37" s="23">
        <f t="shared" si="11"/>
        <v>29</v>
      </c>
      <c r="C37" s="2" t="s">
        <v>61</v>
      </c>
      <c r="D37" s="24">
        <v>74.08</v>
      </c>
      <c r="E37" s="12">
        <f t="shared" si="0"/>
        <v>18.704277585621959</v>
      </c>
      <c r="F37" s="1">
        <v>15.5</v>
      </c>
      <c r="G37" s="1">
        <v>7.2</v>
      </c>
      <c r="H37" s="1">
        <v>7.6</v>
      </c>
      <c r="I37" s="1">
        <v>79.8</v>
      </c>
      <c r="K37" s="17">
        <f t="shared" si="1"/>
        <v>5.8508289543508845</v>
      </c>
      <c r="L37" s="8">
        <f t="shared" si="4"/>
        <v>1.9584521702540017E-4</v>
      </c>
      <c r="M37" s="28">
        <f t="shared" si="5"/>
        <v>0.99980415478297469</v>
      </c>
      <c r="N37" s="29">
        <f t="shared" si="6"/>
        <v>0.5398602674496259</v>
      </c>
      <c r="O37" s="29">
        <f t="shared" si="7"/>
        <v>0.80899851051225691</v>
      </c>
      <c r="P37" s="29">
        <f t="shared" si="8"/>
        <v>1.2883355475064922</v>
      </c>
      <c r="R37" s="18">
        <f t="shared" si="2"/>
        <v>0.32659905158782981</v>
      </c>
      <c r="S37" s="19">
        <f t="shared" si="3"/>
        <v>0.48895475656657111</v>
      </c>
      <c r="T37" s="11">
        <f t="shared" si="9"/>
        <v>1.045178999836256</v>
      </c>
      <c r="U37" s="10">
        <f t="shared" si="10"/>
        <v>1</v>
      </c>
    </row>
    <row r="38" spans="2:21" x14ac:dyDescent="0.2">
      <c r="B38" s="23">
        <f t="shared" si="11"/>
        <v>30</v>
      </c>
      <c r="C38" s="2" t="s">
        <v>62</v>
      </c>
      <c r="D38" s="24">
        <v>72.11</v>
      </c>
      <c r="E38" s="12">
        <f t="shared" si="0"/>
        <v>19.052821313390833</v>
      </c>
      <c r="F38" s="1">
        <v>16</v>
      </c>
      <c r="G38" s="1">
        <v>9</v>
      </c>
      <c r="H38" s="1">
        <v>5.0999999999999996</v>
      </c>
      <c r="I38" s="1">
        <v>90.2</v>
      </c>
      <c r="K38" s="17">
        <f t="shared" si="1"/>
        <v>7.1649764249026866</v>
      </c>
      <c r="L38" s="8">
        <f t="shared" si="4"/>
        <v>1.7326830631735139E-4</v>
      </c>
      <c r="M38" s="28">
        <f t="shared" si="5"/>
        <v>0.99982673169368275</v>
      </c>
      <c r="N38" s="29">
        <f t="shared" si="6"/>
        <v>0.80961042761228719</v>
      </c>
      <c r="O38" s="29">
        <f t="shared" si="7"/>
        <v>0.97409444064262563</v>
      </c>
      <c r="P38" s="29">
        <f t="shared" si="8"/>
        <v>1.8707098163111826</v>
      </c>
      <c r="R38" s="18">
        <f t="shared" si="2"/>
        <v>0.22492487304750161</v>
      </c>
      <c r="S38" s="19">
        <f t="shared" si="3"/>
        <v>0.37032538159489287</v>
      </c>
      <c r="T38" s="11">
        <f t="shared" si="9"/>
        <v>1.7003280080162644</v>
      </c>
      <c r="U38" s="10">
        <f t="shared" si="10"/>
        <v>1</v>
      </c>
    </row>
    <row r="39" spans="2:21" x14ac:dyDescent="0.2">
      <c r="B39" s="23">
        <f t="shared" si="11"/>
        <v>31</v>
      </c>
      <c r="C39" s="2" t="s">
        <v>36</v>
      </c>
      <c r="D39" s="24">
        <v>84.93</v>
      </c>
      <c r="E39" s="12">
        <f t="shared" si="0"/>
        <v>19.81665965797465</v>
      </c>
      <c r="F39" s="1">
        <v>17</v>
      </c>
      <c r="G39" s="1">
        <v>7.3</v>
      </c>
      <c r="H39" s="1">
        <v>7.1</v>
      </c>
      <c r="I39" s="1">
        <v>64.400000000000006</v>
      </c>
      <c r="K39" s="17">
        <f t="shared" si="1"/>
        <v>8.5761194033411261</v>
      </c>
      <c r="L39" s="8">
        <f t="shared" si="4"/>
        <v>2.4266640423580832E-4</v>
      </c>
      <c r="M39" s="28">
        <f t="shared" si="5"/>
        <v>0.99975733359576424</v>
      </c>
      <c r="N39" s="29">
        <f t="shared" si="6"/>
        <v>1.1599204345879379</v>
      </c>
      <c r="O39" s="29">
        <f t="shared" si="7"/>
        <v>1.389477117013773</v>
      </c>
      <c r="P39" s="29">
        <f t="shared" si="8"/>
        <v>1.8574619357128574</v>
      </c>
      <c r="R39" s="18">
        <f t="shared" si="2"/>
        <v>0.22652909319567016</v>
      </c>
      <c r="S39" s="19">
        <f t="shared" si="3"/>
        <v>0.3350845515151798</v>
      </c>
      <c r="T39" s="11">
        <f t="shared" si="9"/>
        <v>1.9843214062785544</v>
      </c>
      <c r="U39" s="10">
        <f t="shared" si="10"/>
        <v>1</v>
      </c>
    </row>
    <row r="40" spans="2:21" x14ac:dyDescent="0.2">
      <c r="B40" s="23">
        <f t="shared" si="11"/>
        <v>32</v>
      </c>
      <c r="C40" s="2" t="s">
        <v>63</v>
      </c>
      <c r="D40" s="24">
        <v>88.15</v>
      </c>
      <c r="E40" s="12">
        <f t="shared" si="0"/>
        <v>16.202777539668933</v>
      </c>
      <c r="F40" s="1">
        <v>14.8</v>
      </c>
      <c r="G40" s="1">
        <v>4.3</v>
      </c>
      <c r="H40" s="1">
        <v>5</v>
      </c>
      <c r="I40" s="1">
        <v>119.8</v>
      </c>
      <c r="K40" s="17">
        <f t="shared" si="1"/>
        <v>4.1430970457486698</v>
      </c>
      <c r="L40" s="8">
        <f t="shared" si="4"/>
        <v>1.3046302454925874E-4</v>
      </c>
      <c r="M40" s="28">
        <f t="shared" si="5"/>
        <v>0.99986953697545078</v>
      </c>
      <c r="N40" s="29">
        <f t="shared" si="6"/>
        <v>0.27070530944328047</v>
      </c>
      <c r="O40" s="29">
        <f t="shared" si="7"/>
        <v>7.3614924600424986E-2</v>
      </c>
      <c r="P40" s="29">
        <f t="shared" si="8"/>
        <v>1.2610240113691011</v>
      </c>
      <c r="R40" s="18">
        <f t="shared" si="2"/>
        <v>0.33367260587344111</v>
      </c>
      <c r="S40" s="19">
        <f t="shared" si="3"/>
        <v>0.4536098819637131</v>
      </c>
      <c r="T40" s="11">
        <f t="shared" si="9"/>
        <v>1.2045375106708893</v>
      </c>
      <c r="U40" s="10">
        <f t="shared" si="10"/>
        <v>1</v>
      </c>
    </row>
    <row r="41" spans="2:21" x14ac:dyDescent="0.2">
      <c r="B41" s="23">
        <f t="shared" si="11"/>
        <v>33</v>
      </c>
      <c r="C41" s="2" t="s">
        <v>222</v>
      </c>
      <c r="D41" s="24">
        <v>98.19</v>
      </c>
      <c r="E41" s="12">
        <f t="shared" si="0"/>
        <v>16.031219541881399</v>
      </c>
      <c r="F41" s="1">
        <v>16</v>
      </c>
      <c r="G41" s="1">
        <v>0</v>
      </c>
      <c r="H41" s="1">
        <v>1</v>
      </c>
      <c r="I41" s="1">
        <v>128.19999999999999</v>
      </c>
      <c r="K41" s="17">
        <f t="shared" si="1"/>
        <v>9.6141932678851418</v>
      </c>
      <c r="L41" s="8">
        <f t="shared" si="4"/>
        <v>1.2191578741982124E-4</v>
      </c>
      <c r="M41" s="28">
        <f t="shared" si="5"/>
        <v>0.99987808421258018</v>
      </c>
      <c r="N41" s="29">
        <f t="shared" si="6"/>
        <v>1.4577137759906673</v>
      </c>
      <c r="O41" s="29">
        <f t="shared" si="7"/>
        <v>5.2094757492639435E-2</v>
      </c>
      <c r="P41" s="29">
        <f t="shared" si="8"/>
        <v>4.2053639447867202</v>
      </c>
      <c r="R41" s="18">
        <f t="shared" si="2"/>
        <v>0.10005535156216963</v>
      </c>
      <c r="S41" s="19">
        <f t="shared" si="3"/>
        <v>0.14197904791622948</v>
      </c>
      <c r="T41" s="11">
        <f t="shared" si="9"/>
        <v>6.0432927581682359</v>
      </c>
      <c r="U41" s="10">
        <f t="shared" si="10"/>
        <v>1</v>
      </c>
    </row>
    <row r="42" spans="2:21" x14ac:dyDescent="0.2">
      <c r="B42" s="23">
        <f t="shared" si="11"/>
        <v>34</v>
      </c>
      <c r="C42" s="2" t="s">
        <v>29</v>
      </c>
      <c r="D42" s="24">
        <v>102.13</v>
      </c>
      <c r="E42" s="12">
        <f t="shared" si="0"/>
        <v>17.616469566857035</v>
      </c>
      <c r="F42" s="1">
        <v>15.3</v>
      </c>
      <c r="G42" s="1">
        <v>4.3</v>
      </c>
      <c r="H42" s="1">
        <v>7.6</v>
      </c>
      <c r="I42" s="1">
        <v>115.8</v>
      </c>
      <c r="K42" s="17">
        <f t="shared" si="1"/>
        <v>5.4105961549767256</v>
      </c>
      <c r="L42" s="8">
        <f t="shared" si="4"/>
        <v>1.3496891111564543E-4</v>
      </c>
      <c r="M42" s="28">
        <f t="shared" si="5"/>
        <v>0.99986503108888436</v>
      </c>
      <c r="N42" s="29">
        <f t="shared" si="6"/>
        <v>0.46167547078717153</v>
      </c>
      <c r="O42" s="29">
        <f t="shared" si="7"/>
        <v>0.3922473766238167</v>
      </c>
      <c r="P42" s="29">
        <f t="shared" si="8"/>
        <v>1.5094359262589041</v>
      </c>
      <c r="R42" s="18">
        <f t="shared" si="2"/>
        <v>0.27875921105533291</v>
      </c>
      <c r="S42" s="19">
        <f t="shared" si="3"/>
        <v>0.35610589711742319</v>
      </c>
      <c r="T42" s="11">
        <f t="shared" si="9"/>
        <v>1.8081534400152259</v>
      </c>
      <c r="U42" s="10">
        <f t="shared" si="10"/>
        <v>1</v>
      </c>
    </row>
    <row r="43" spans="2:21" x14ac:dyDescent="0.2">
      <c r="B43" s="23">
        <f t="shared" si="11"/>
        <v>35</v>
      </c>
      <c r="C43" s="2" t="s">
        <v>64</v>
      </c>
      <c r="D43" s="24">
        <v>76.099999999999994</v>
      </c>
      <c r="E43" s="12">
        <f t="shared" si="0"/>
        <v>29.053227015255985</v>
      </c>
      <c r="F43" s="1">
        <v>16.8</v>
      </c>
      <c r="G43" s="1">
        <v>10.4</v>
      </c>
      <c r="H43" s="1">
        <v>21.3</v>
      </c>
      <c r="I43" s="1">
        <v>73.7</v>
      </c>
      <c r="K43" s="17">
        <f t="shared" si="1"/>
        <v>18.163469690379948</v>
      </c>
      <c r="L43" s="8">
        <f t="shared" si="4"/>
        <v>2.1205149240266722E-4</v>
      </c>
      <c r="M43" s="28">
        <f t="shared" si="5"/>
        <v>0.99978794850759745</v>
      </c>
      <c r="N43" s="29">
        <f t="shared" si="6"/>
        <v>5.2028845442710381</v>
      </c>
      <c r="O43" s="29">
        <f t="shared" si="7"/>
        <v>12.236342784054058</v>
      </c>
      <c r="P43" s="29">
        <f t="shared" si="8"/>
        <v>125.43933349045051</v>
      </c>
      <c r="R43" s="18">
        <f t="shared" si="2"/>
        <v>3.3543638684475335E-3</v>
      </c>
      <c r="S43" s="19">
        <f t="shared" si="3"/>
        <v>6.4217871660400151E-3</v>
      </c>
      <c r="T43" s="11">
        <f t="shared" si="9"/>
        <v>154.7198913860374</v>
      </c>
      <c r="U43" s="10">
        <f t="shared" si="10"/>
        <v>1</v>
      </c>
    </row>
    <row r="44" spans="2:21" x14ac:dyDescent="0.2">
      <c r="B44" s="23">
        <f t="shared" si="11"/>
        <v>36</v>
      </c>
      <c r="C44" s="2" t="s">
        <v>34</v>
      </c>
      <c r="D44" s="24">
        <v>72.11</v>
      </c>
      <c r="E44" s="12">
        <f t="shared" si="0"/>
        <v>19.460986614249546</v>
      </c>
      <c r="F44" s="1">
        <v>16.8</v>
      </c>
      <c r="G44" s="1">
        <v>5.7</v>
      </c>
      <c r="H44" s="1">
        <v>8</v>
      </c>
      <c r="I44" s="1">
        <v>81.900000000000006</v>
      </c>
      <c r="K44" s="17">
        <f t="shared" si="1"/>
        <v>8.2220434891274152</v>
      </c>
      <c r="L44" s="8">
        <f t="shared" si="4"/>
        <v>1.9082450305208767E-4</v>
      </c>
      <c r="M44" s="28">
        <f t="shared" si="5"/>
        <v>0.99980917549694803</v>
      </c>
      <c r="N44" s="29">
        <f t="shared" si="6"/>
        <v>1.0661200249290976</v>
      </c>
      <c r="O44" s="29">
        <f t="shared" si="7"/>
        <v>1.1869054333523974</v>
      </c>
      <c r="P44" s="29">
        <f t="shared" si="8"/>
        <v>2.2336837693472127</v>
      </c>
      <c r="R44" s="18">
        <f t="shared" si="2"/>
        <v>0.18837454688828953</v>
      </c>
      <c r="S44" s="19">
        <f t="shared" si="3"/>
        <v>0.31989935103479233</v>
      </c>
      <c r="T44" s="11">
        <f t="shared" si="9"/>
        <v>2.125983209297726</v>
      </c>
      <c r="U44" s="10">
        <f t="shared" si="10"/>
        <v>1</v>
      </c>
    </row>
    <row r="45" spans="2:21" x14ac:dyDescent="0.2">
      <c r="B45" s="23">
        <f t="shared" si="11"/>
        <v>37</v>
      </c>
      <c r="C45" s="2" t="s">
        <v>45</v>
      </c>
      <c r="D45" s="24">
        <v>102.13</v>
      </c>
      <c r="E45" s="12">
        <f t="shared" si="0"/>
        <v>23.462523308459385</v>
      </c>
      <c r="F45" s="1">
        <v>17.8</v>
      </c>
      <c r="G45" s="1">
        <v>8.1999999999999993</v>
      </c>
      <c r="H45" s="1">
        <v>12.9</v>
      </c>
      <c r="I45" s="1">
        <v>97.4</v>
      </c>
      <c r="K45" s="17">
        <f t="shared" si="1"/>
        <v>12.524953431485212</v>
      </c>
      <c r="L45" s="8">
        <f t="shared" si="4"/>
        <v>1.6046202681013465E-4</v>
      </c>
      <c r="M45" s="28">
        <f t="shared" si="5"/>
        <v>0.99983953797318992</v>
      </c>
      <c r="N45" s="29">
        <f t="shared" si="6"/>
        <v>2.4739949069531795</v>
      </c>
      <c r="O45" s="29">
        <f t="shared" si="7"/>
        <v>4.3858055232339046</v>
      </c>
      <c r="P45" s="29">
        <f t="shared" si="8"/>
        <v>10.396486095110227</v>
      </c>
      <c r="R45" s="18">
        <f t="shared" si="2"/>
        <v>4.0472248420589711E-2</v>
      </c>
      <c r="S45" s="19">
        <f t="shared" si="3"/>
        <v>5.6919901941803935E-2</v>
      </c>
      <c r="T45" s="11">
        <f t="shared" si="9"/>
        <v>16.568547483135518</v>
      </c>
      <c r="U45" s="10">
        <f t="shared" si="10"/>
        <v>1</v>
      </c>
    </row>
    <row r="46" spans="2:21" x14ac:dyDescent="0.2">
      <c r="B46" s="23">
        <f t="shared" si="11"/>
        <v>38</v>
      </c>
      <c r="C46" s="2" t="s">
        <v>65</v>
      </c>
      <c r="D46" s="24">
        <v>92.14</v>
      </c>
      <c r="E46" s="12">
        <f t="shared" si="0"/>
        <v>18.164801127455263</v>
      </c>
      <c r="F46" s="1">
        <v>18</v>
      </c>
      <c r="G46" s="1">
        <v>1.4</v>
      </c>
      <c r="H46" s="1">
        <v>2</v>
      </c>
      <c r="I46" s="1">
        <v>106.6</v>
      </c>
      <c r="K46" s="17">
        <f t="shared" si="1"/>
        <v>11.689879998571607</v>
      </c>
      <c r="L46" s="8">
        <f t="shared" si="4"/>
        <v>1.4661555208828045E-4</v>
      </c>
      <c r="M46" s="28">
        <f t="shared" si="5"/>
        <v>0.99985338444791183</v>
      </c>
      <c r="N46" s="29">
        <f t="shared" si="6"/>
        <v>2.1550962319420579</v>
      </c>
      <c r="O46" s="29">
        <f t="shared" si="7"/>
        <v>0.58366811712814748</v>
      </c>
      <c r="P46" s="29">
        <f t="shared" si="8"/>
        <v>7.9323751012836334</v>
      </c>
      <c r="R46" s="18">
        <f t="shared" si="2"/>
        <v>5.3044537426680444E-2</v>
      </c>
      <c r="S46" s="19">
        <f t="shared" si="3"/>
        <v>8.1595465997795033E-2</v>
      </c>
      <c r="T46" s="11">
        <f t="shared" si="9"/>
        <v>11.255582926960956</v>
      </c>
      <c r="U46" s="10">
        <f t="shared" si="10"/>
        <v>1</v>
      </c>
    </row>
    <row r="47" spans="2:21" x14ac:dyDescent="0.2">
      <c r="B47" s="23">
        <f t="shared" si="11"/>
        <v>39</v>
      </c>
      <c r="C47" s="2" t="s">
        <v>66</v>
      </c>
      <c r="D47" s="24">
        <v>18</v>
      </c>
      <c r="E47" s="12">
        <f t="shared" si="0"/>
        <v>47.807321614999516</v>
      </c>
      <c r="F47" s="1">
        <v>15.5</v>
      </c>
      <c r="G47" s="1">
        <v>16</v>
      </c>
      <c r="H47" s="1">
        <v>42.3</v>
      </c>
      <c r="I47" s="1">
        <v>18</v>
      </c>
      <c r="K47" s="17">
        <f t="shared" si="1"/>
        <v>38.456599664442187</v>
      </c>
      <c r="L47" s="8">
        <f t="shared" si="4"/>
        <v>8.6766371007516432E-4</v>
      </c>
      <c r="M47" s="28">
        <f t="shared" si="5"/>
        <v>0.99913233628992482</v>
      </c>
      <c r="N47" s="29">
        <f t="shared" si="6"/>
        <v>23.323210079037828</v>
      </c>
      <c r="O47" s="29">
        <f>($B$1/($B$6*298.15))*($E$2-E47)^2</f>
        <v>67.357675236763271</v>
      </c>
      <c r="P47" s="29">
        <f t="shared" si="8"/>
        <v>51999837.61620187</v>
      </c>
      <c r="R47" s="18">
        <f t="shared" si="2"/>
        <v>8.0917400367305469E-9</v>
      </c>
      <c r="S47" s="19">
        <f t="shared" si="3"/>
        <v>6.5695934491627366E-8</v>
      </c>
      <c r="T47" s="11">
        <f t="shared" si="9"/>
        <v>15221641.065650884</v>
      </c>
      <c r="U47" s="10">
        <f t="shared" si="10"/>
        <v>0</v>
      </c>
    </row>
    <row r="48" spans="2:21" x14ac:dyDescent="0.2">
      <c r="B48" s="23">
        <f t="shared" si="11"/>
        <v>40</v>
      </c>
      <c r="C48" s="2" t="s">
        <v>46</v>
      </c>
      <c r="D48" s="24">
        <v>106.17</v>
      </c>
      <c r="E48" s="12">
        <f t="shared" si="0"/>
        <v>17.898882646690549</v>
      </c>
      <c r="F48" s="1">
        <v>17.600000000000001</v>
      </c>
      <c r="G48" s="1">
        <v>1</v>
      </c>
      <c r="H48" s="1">
        <v>3.1</v>
      </c>
      <c r="I48" s="1">
        <v>123.9</v>
      </c>
      <c r="K48" s="17">
        <f t="shared" si="1"/>
        <v>10.841065933270489</v>
      </c>
      <c r="L48" s="8">
        <f t="shared" si="4"/>
        <v>1.2614639077081411E-4</v>
      </c>
      <c r="M48" s="28">
        <f t="shared" si="5"/>
        <v>0.9998738536092292</v>
      </c>
      <c r="N48" s="29">
        <f t="shared" si="6"/>
        <v>1.8534912198105395</v>
      </c>
      <c r="O48" s="29">
        <f t="shared" si="7"/>
        <v>0.48610183726431849</v>
      </c>
      <c r="P48" s="29">
        <f>EXP(LN(L48/$B$7)+1-L48/$B$7+IF($R$4=1,N48,O48)*((M48)^2))</f>
        <v>6.195558083957617</v>
      </c>
      <c r="R48" s="18">
        <f t="shared" si="2"/>
        <v>6.7914651471353421E-2</v>
      </c>
      <c r="S48" s="19">
        <f t="shared" si="3"/>
        <v>9.1152025626007355E-2</v>
      </c>
      <c r="T48" s="11">
        <f t="shared" si="9"/>
        <v>9.9706832418947542</v>
      </c>
      <c r="U48" s="10">
        <f t="shared" si="10"/>
        <v>1</v>
      </c>
    </row>
    <row r="51" spans="3:3" ht="15.75" x14ac:dyDescent="0.25">
      <c r="C51" s="6" t="s">
        <v>247</v>
      </c>
    </row>
    <row r="52" spans="3:3" ht="15.75" x14ac:dyDescent="0.25">
      <c r="C52" s="6" t="s">
        <v>248</v>
      </c>
    </row>
    <row r="55" spans="3:3" ht="23.25" x14ac:dyDescent="0.35">
      <c r="C55" s="34" t="s">
        <v>249</v>
      </c>
    </row>
    <row r="56" spans="3:3" ht="15.75" x14ac:dyDescent="0.25">
      <c r="C56" s="34"/>
    </row>
    <row r="57" spans="3:3" ht="23.25" x14ac:dyDescent="0.35">
      <c r="C57" s="34" t="s">
        <v>250</v>
      </c>
    </row>
    <row r="60" spans="3:3" ht="28.5" x14ac:dyDescent="0.45">
      <c r="C60" s="27" t="s">
        <v>231</v>
      </c>
    </row>
    <row r="63" spans="3:3" ht="15.75" x14ac:dyDescent="0.25">
      <c r="C63" s="34" t="s">
        <v>251</v>
      </c>
    </row>
    <row r="67" spans="3:3" ht="15.75" x14ac:dyDescent="0.25">
      <c r="C67" s="34" t="s">
        <v>252</v>
      </c>
    </row>
  </sheetData>
  <sortState ref="B9:P48">
    <sortCondition ref="C9:C48"/>
  </sortState>
  <mergeCells count="1">
    <mergeCell ref="P4:Q4"/>
  </mergeCells>
  <conditionalFormatting sqref="U9:U48">
    <cfRule type="cellIs" dxfId="1" priority="1" operator="equal">
      <formula>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Option Button 4">
              <controlPr defaultSize="0" autoFill="0" autoLine="0" autoPict="0">
                <anchor moveWithCells="1">
                  <from>
                    <xdr:col>2</xdr:col>
                    <xdr:colOff>1533525</xdr:colOff>
                    <xdr:row>1</xdr:row>
                    <xdr:rowOff>85725</xdr:rowOff>
                  </from>
                  <to>
                    <xdr:col>2</xdr:col>
                    <xdr:colOff>3228975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4" name="Group Box 6">
              <controlPr defaultSize="0" autoFill="0" autoPict="0">
                <anchor moveWithCells="1">
                  <from>
                    <xdr:col>2</xdr:col>
                    <xdr:colOff>1295400</xdr:colOff>
                    <xdr:row>0</xdr:row>
                    <xdr:rowOff>190500</xdr:rowOff>
                  </from>
                  <to>
                    <xdr:col>2</xdr:col>
                    <xdr:colOff>3343275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Option Button 7">
              <controlPr defaultSize="0" autoFill="0" autoLine="0" autoPict="0">
                <anchor moveWithCells="1">
                  <from>
                    <xdr:col>2</xdr:col>
                    <xdr:colOff>1524000</xdr:colOff>
                    <xdr:row>3</xdr:row>
                    <xdr:rowOff>47625</xdr:rowOff>
                  </from>
                  <to>
                    <xdr:col>2</xdr:col>
                    <xdr:colOff>3000375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A3" sqref="A3"/>
    </sheetView>
  </sheetViews>
  <sheetFormatPr baseColWidth="10" defaultColWidth="9.140625" defaultRowHeight="15" x14ac:dyDescent="0.2"/>
  <cols>
    <col min="1" max="1" width="41" style="3" bestFit="1" customWidth="1"/>
    <col min="2" max="4" width="9.28515625" style="3" bestFit="1" customWidth="1"/>
    <col min="5" max="5" width="9.5703125" style="3" bestFit="1" customWidth="1"/>
    <col min="6" max="7" width="9.140625" style="3"/>
    <col min="8" max="8" width="12" style="3" bestFit="1" customWidth="1"/>
    <col min="9" max="9" width="11.140625" style="3" bestFit="1" customWidth="1"/>
    <col min="10" max="10" width="12" style="3" bestFit="1" customWidth="1"/>
    <col min="11" max="11" width="28.42578125" style="3" bestFit="1" customWidth="1"/>
    <col min="12" max="12" width="15.5703125" style="3" bestFit="1" customWidth="1"/>
    <col min="13" max="13" width="19" style="3" bestFit="1" customWidth="1"/>
    <col min="14" max="16384" width="9.140625" style="3"/>
  </cols>
  <sheetData>
    <row r="1" spans="1:15" ht="15.75" x14ac:dyDescent="0.25">
      <c r="A1" s="40"/>
      <c r="B1" s="40"/>
      <c r="C1" s="41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">
      <c r="A2" s="40"/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0">
        <f>COUNTIF(G9:G48,1)</f>
        <v>38</v>
      </c>
      <c r="H2" s="40"/>
      <c r="I2" s="40" t="s">
        <v>6</v>
      </c>
      <c r="J2" s="40">
        <v>1000000</v>
      </c>
      <c r="K2" s="40" t="s">
        <v>7</v>
      </c>
      <c r="L2" s="42">
        <f>COUNTIF(K9:K48,"WO")</f>
        <v>0</v>
      </c>
      <c r="M2" s="40"/>
      <c r="N2" s="40"/>
      <c r="O2" s="40"/>
    </row>
    <row r="3" spans="1:15" ht="15.75" x14ac:dyDescent="0.25">
      <c r="A3" s="40"/>
      <c r="B3" s="120">
        <v>16.609545078179462</v>
      </c>
      <c r="C3" s="120">
        <v>9.1923590166579832</v>
      </c>
      <c r="D3" s="120">
        <v>9.6230577151254728</v>
      </c>
      <c r="E3" s="120">
        <v>13.605746395161599</v>
      </c>
      <c r="F3" s="40" t="s">
        <v>8</v>
      </c>
      <c r="G3" s="40">
        <f>COUNTIF(G9:G48,0)</f>
        <v>2</v>
      </c>
      <c r="H3" s="40"/>
      <c r="I3" s="40" t="s">
        <v>9</v>
      </c>
      <c r="J3" s="40">
        <f>I51*J2</f>
        <v>1000000</v>
      </c>
      <c r="K3" s="40" t="s">
        <v>10</v>
      </c>
      <c r="L3" s="42">
        <f>COUNTIF(K9:K48,"WI")</f>
        <v>0</v>
      </c>
      <c r="M3" s="40"/>
      <c r="N3" s="40"/>
      <c r="O3" s="40"/>
    </row>
    <row r="4" spans="1:15" x14ac:dyDescent="0.2">
      <c r="A4" s="43" t="s">
        <v>11</v>
      </c>
      <c r="B4" s="44">
        <f>B57</f>
        <v>16.799999999999997</v>
      </c>
      <c r="C4" s="44">
        <f t="shared" ref="C4:D4" si="0">C57</f>
        <v>10.85</v>
      </c>
      <c r="D4" s="44">
        <f t="shared" si="0"/>
        <v>11.15</v>
      </c>
      <c r="E4" s="38">
        <f>L51</f>
        <v>13.60330100492976</v>
      </c>
      <c r="F4" s="40" t="s">
        <v>12</v>
      </c>
      <c r="G4" s="40">
        <f>G2+G3</f>
        <v>40</v>
      </c>
      <c r="H4" s="40"/>
      <c r="I4" s="40" t="s">
        <v>13</v>
      </c>
      <c r="J4" s="45">
        <f>J3/J2</f>
        <v>1</v>
      </c>
      <c r="K4" s="40"/>
      <c r="L4" s="40"/>
      <c r="M4" s="40"/>
      <c r="N4" s="40"/>
      <c r="O4" s="40"/>
    </row>
    <row r="5" spans="1:15" x14ac:dyDescent="0.2">
      <c r="A5" s="40" t="s">
        <v>14</v>
      </c>
      <c r="B5" s="43">
        <v>-1.6430228001110105</v>
      </c>
      <c r="C5" s="43">
        <v>-1.9755453564583423</v>
      </c>
      <c r="D5" s="43">
        <v>-2.0966920062497447</v>
      </c>
      <c r="E5" s="40"/>
      <c r="F5" s="40"/>
      <c r="G5" s="40"/>
      <c r="H5" s="40"/>
      <c r="I5" s="40"/>
      <c r="J5" s="40"/>
      <c r="K5" s="40"/>
      <c r="L5" s="46"/>
      <c r="M5" s="40"/>
      <c r="N5" s="40"/>
      <c r="O5" s="40"/>
    </row>
    <row r="6" spans="1:15" x14ac:dyDescent="0.2">
      <c r="A6" s="40"/>
      <c r="B6" s="40" t="s">
        <v>15</v>
      </c>
      <c r="C6" s="43">
        <v>4.370010584796586</v>
      </c>
      <c r="D6" s="40" t="s">
        <v>16</v>
      </c>
      <c r="E6" s="38">
        <v>0.33409611115043925</v>
      </c>
      <c r="F6" s="40"/>
      <c r="G6" s="40"/>
      <c r="H6" s="40" t="s">
        <v>17</v>
      </c>
      <c r="I6" s="47">
        <f>(E3^(-1/G51))*I51</f>
        <v>0.936821697368038</v>
      </c>
      <c r="J6" s="40"/>
      <c r="K6" s="40"/>
      <c r="L6" s="46"/>
      <c r="M6" s="40"/>
      <c r="N6" s="40"/>
      <c r="O6" s="40"/>
    </row>
    <row r="7" spans="1:15" x14ac:dyDescent="0.2">
      <c r="A7" s="40"/>
      <c r="B7" s="40"/>
      <c r="C7" s="43"/>
      <c r="D7" s="40"/>
      <c r="E7" s="40"/>
      <c r="F7" s="40"/>
      <c r="G7" s="40"/>
      <c r="H7" s="40"/>
      <c r="I7" s="40"/>
      <c r="J7" s="40"/>
      <c r="K7" s="40"/>
      <c r="L7" s="46"/>
      <c r="M7" s="40"/>
      <c r="N7" s="40"/>
      <c r="O7" s="40"/>
    </row>
    <row r="8" spans="1:15" ht="15.75" x14ac:dyDescent="0.25">
      <c r="A8" s="48" t="s">
        <v>18</v>
      </c>
      <c r="B8" s="48" t="s">
        <v>1</v>
      </c>
      <c r="C8" s="48" t="s">
        <v>2</v>
      </c>
      <c r="D8" s="48" t="s">
        <v>3</v>
      </c>
      <c r="E8" s="48" t="s">
        <v>19</v>
      </c>
      <c r="F8" s="49"/>
      <c r="G8" s="49" t="s">
        <v>20</v>
      </c>
      <c r="H8" s="49" t="s">
        <v>15</v>
      </c>
      <c r="I8" s="49" t="s">
        <v>21</v>
      </c>
      <c r="J8" s="49" t="s">
        <v>16</v>
      </c>
      <c r="K8" s="40"/>
      <c r="L8" s="49" t="s">
        <v>22</v>
      </c>
      <c r="M8" s="40"/>
      <c r="N8" s="40"/>
      <c r="O8" s="40"/>
    </row>
    <row r="9" spans="1:15" x14ac:dyDescent="0.2">
      <c r="A9" s="50" t="str">
        <f>Coumarin!C9</f>
        <v>1 propanol</v>
      </c>
      <c r="B9" s="51">
        <f>Coumarin!F9</f>
        <v>16</v>
      </c>
      <c r="C9" s="51">
        <f>Coumarin!G9</f>
        <v>6.8</v>
      </c>
      <c r="D9" s="51">
        <f>Coumarin!H9</f>
        <v>17.399999999999999</v>
      </c>
      <c r="E9" s="51">
        <f>Coumarin!I9</f>
        <v>75.099999999999994</v>
      </c>
      <c r="F9" s="40"/>
      <c r="G9" s="39">
        <f>Coumarin!U9</f>
        <v>1</v>
      </c>
      <c r="H9" s="52">
        <f t="shared" ref="H9:H48" si="1">IF(G9&lt;&gt;"",SQRT(4*(B9-$B$3)^2+(C9-$C$3)^2+(D9-$D$3)^2),0)</f>
        <v>8.2274171995946208</v>
      </c>
      <c r="I9" s="53">
        <f t="shared" ref="I9:I48" si="2">IF(G9=1,IF(H9&lt;$E$3,1,EXP($E$3-H9)),IF(G9&lt;&gt;"",IF(H9&lt;$E$3,EXP(H9-$E$3),1),1))</f>
        <v>1</v>
      </c>
      <c r="J9" s="52">
        <f t="shared" ref="J9:J48" si="3">IF(G9&lt;&gt;"",H9/$E$3,"")</f>
        <v>0.6047016430146317</v>
      </c>
      <c r="K9" s="40" t="str">
        <f t="shared" ref="K9:K48" si="4">IF(G9=1,IF(J9&lt;=1,"","WO"),IF(G9&lt;&gt;"",IF(J9&gt;1,"","WI"),""))</f>
        <v/>
      </c>
      <c r="L9" s="52">
        <f t="shared" ref="L9:L48" si="5">IF(G9=1,H9, "")</f>
        <v>8.2274171995946208</v>
      </c>
      <c r="M9" s="40"/>
      <c r="N9" s="40"/>
      <c r="O9" s="40"/>
    </row>
    <row r="10" spans="1:15" x14ac:dyDescent="0.2">
      <c r="A10" s="50" t="str">
        <f>Coumarin!C10</f>
        <v>1-butanol</v>
      </c>
      <c r="B10" s="51">
        <f>Coumarin!F10</f>
        <v>16</v>
      </c>
      <c r="C10" s="51">
        <f>Coumarin!G10</f>
        <v>5.7</v>
      </c>
      <c r="D10" s="51">
        <f>Coumarin!H10</f>
        <v>15.8</v>
      </c>
      <c r="E10" s="51">
        <f>Coumarin!I10</f>
        <v>92</v>
      </c>
      <c r="F10" s="40"/>
      <c r="G10" s="39">
        <f>Coumarin!U10</f>
        <v>1</v>
      </c>
      <c r="H10" s="52">
        <f t="shared" si="1"/>
        <v>7.1998172408217762</v>
      </c>
      <c r="I10" s="53">
        <f t="shared" si="2"/>
        <v>1</v>
      </c>
      <c r="J10" s="52">
        <f t="shared" si="3"/>
        <v>0.52917473482984623</v>
      </c>
      <c r="K10" s="40" t="str">
        <f t="shared" si="4"/>
        <v/>
      </c>
      <c r="L10" s="52">
        <f t="shared" si="5"/>
        <v>7.1998172408217762</v>
      </c>
      <c r="M10" s="40"/>
      <c r="N10" s="40"/>
      <c r="O10" s="40"/>
    </row>
    <row r="11" spans="1:15" x14ac:dyDescent="0.2">
      <c r="A11" s="50" t="str">
        <f>Coumarin!C11</f>
        <v>2 propanol</v>
      </c>
      <c r="B11" s="51">
        <f>Coumarin!F11</f>
        <v>15.8</v>
      </c>
      <c r="C11" s="51">
        <f>Coumarin!G11</f>
        <v>6.1</v>
      </c>
      <c r="D11" s="51">
        <f>Coumarin!H11</f>
        <v>16.399999999999999</v>
      </c>
      <c r="E11" s="51">
        <f>Coumarin!I11</f>
        <v>76.900000000000006</v>
      </c>
      <c r="F11" s="40"/>
      <c r="G11" s="39">
        <f>Coumarin!U11</f>
        <v>1</v>
      </c>
      <c r="H11" s="52">
        <f t="shared" si="1"/>
        <v>7.6230626361617055</v>
      </c>
      <c r="I11" s="53">
        <f t="shared" si="2"/>
        <v>1</v>
      </c>
      <c r="J11" s="52">
        <f t="shared" si="3"/>
        <v>0.56028257581462615</v>
      </c>
      <c r="K11" s="40" t="str">
        <f t="shared" si="4"/>
        <v/>
      </c>
      <c r="L11" s="52">
        <f t="shared" si="5"/>
        <v>7.6230626361617055</v>
      </c>
      <c r="M11" s="40"/>
      <c r="N11" s="40"/>
      <c r="O11" s="40"/>
    </row>
    <row r="12" spans="1:15" x14ac:dyDescent="0.2">
      <c r="A12" s="50" t="str">
        <f>Coumarin!C12</f>
        <v>2-butanol</v>
      </c>
      <c r="B12" s="51">
        <f>Coumarin!F12</f>
        <v>15.8</v>
      </c>
      <c r="C12" s="51">
        <f>Coumarin!G12</f>
        <v>5.7</v>
      </c>
      <c r="D12" s="51">
        <f>Coumarin!H12</f>
        <v>14.5</v>
      </c>
      <c r="E12" s="51">
        <f>Coumarin!I12</f>
        <v>92</v>
      </c>
      <c r="F12" s="40"/>
      <c r="G12" s="39">
        <f>Coumarin!U12</f>
        <v>1</v>
      </c>
      <c r="H12" s="52">
        <f t="shared" si="1"/>
        <v>6.2130983000148845</v>
      </c>
      <c r="I12" s="53">
        <f t="shared" si="2"/>
        <v>1</v>
      </c>
      <c r="J12" s="52">
        <f t="shared" si="3"/>
        <v>0.4566525142806096</v>
      </c>
      <c r="K12" s="40" t="str">
        <f t="shared" si="4"/>
        <v/>
      </c>
      <c r="L12" s="52">
        <f t="shared" si="5"/>
        <v>6.2130983000148845</v>
      </c>
      <c r="M12" s="40"/>
      <c r="N12" s="40"/>
      <c r="O12" s="40"/>
    </row>
    <row r="13" spans="1:15" x14ac:dyDescent="0.2">
      <c r="A13" s="50" t="str">
        <f>Coumarin!C13</f>
        <v>Acetone</v>
      </c>
      <c r="B13" s="51">
        <f>Coumarin!F13</f>
        <v>15.5</v>
      </c>
      <c r="C13" s="51">
        <f>Coumarin!G13</f>
        <v>10.4</v>
      </c>
      <c r="D13" s="51">
        <f>Coumarin!H13</f>
        <v>7</v>
      </c>
      <c r="E13" s="51">
        <f>Coumarin!I13</f>
        <v>73.8</v>
      </c>
      <c r="F13" s="40"/>
      <c r="G13" s="39">
        <f>Coumarin!U13</f>
        <v>1</v>
      </c>
      <c r="H13" s="52">
        <f t="shared" si="1"/>
        <v>3.6418662308733434</v>
      </c>
      <c r="I13" s="53">
        <f t="shared" si="2"/>
        <v>1</v>
      </c>
      <c r="J13" s="52">
        <f t="shared" si="3"/>
        <v>0.26767118282966407</v>
      </c>
      <c r="K13" s="40" t="str">
        <f t="shared" si="4"/>
        <v/>
      </c>
      <c r="L13" s="52">
        <f t="shared" si="5"/>
        <v>3.6418662308733434</v>
      </c>
      <c r="M13" s="40"/>
      <c r="N13" s="40"/>
      <c r="O13" s="40"/>
    </row>
    <row r="14" spans="1:15" x14ac:dyDescent="0.2">
      <c r="A14" s="50" t="str">
        <f>Coumarin!C14</f>
        <v>Acetonitrile</v>
      </c>
      <c r="B14" s="51">
        <f>Coumarin!F14</f>
        <v>15.3</v>
      </c>
      <c r="C14" s="51">
        <f>Coumarin!G14</f>
        <v>18</v>
      </c>
      <c r="D14" s="51">
        <f>Coumarin!H14</f>
        <v>6.1</v>
      </c>
      <c r="E14" s="51">
        <f>Coumarin!I14</f>
        <v>52.9</v>
      </c>
      <c r="F14" s="40"/>
      <c r="G14" s="39">
        <f>Coumarin!U14</f>
        <v>1</v>
      </c>
      <c r="H14" s="52">
        <f t="shared" si="1"/>
        <v>9.8410420486190002</v>
      </c>
      <c r="I14" s="53">
        <f t="shared" si="2"/>
        <v>1</v>
      </c>
      <c r="J14" s="52">
        <f t="shared" si="3"/>
        <v>0.72330041754406194</v>
      </c>
      <c r="K14" s="40" t="str">
        <f t="shared" si="4"/>
        <v/>
      </c>
      <c r="L14" s="52">
        <f t="shared" si="5"/>
        <v>9.8410420486190002</v>
      </c>
      <c r="M14" s="40"/>
      <c r="N14" s="40"/>
      <c r="O14" s="40"/>
    </row>
    <row r="15" spans="1:15" x14ac:dyDescent="0.2">
      <c r="A15" s="50" t="str">
        <f>Coumarin!C15</f>
        <v>Anisole</v>
      </c>
      <c r="B15" s="51">
        <f>Coumarin!F15</f>
        <v>17.8</v>
      </c>
      <c r="C15" s="51">
        <f>Coumarin!G15</f>
        <v>4.4000000000000004</v>
      </c>
      <c r="D15" s="51">
        <f>Coumarin!H15</f>
        <v>6.9</v>
      </c>
      <c r="E15" s="51">
        <f>Coumarin!I15</f>
        <v>109.2</v>
      </c>
      <c r="F15" s="40"/>
      <c r="G15" s="39">
        <f>Coumarin!U15</f>
        <v>1</v>
      </c>
      <c r="H15" s="52">
        <f t="shared" si="1"/>
        <v>6.0042051886985348</v>
      </c>
      <c r="I15" s="53">
        <f t="shared" si="2"/>
        <v>1</v>
      </c>
      <c r="J15" s="52">
        <f t="shared" si="3"/>
        <v>0.44129921389933574</v>
      </c>
      <c r="K15" s="40" t="str">
        <f t="shared" si="4"/>
        <v/>
      </c>
      <c r="L15" s="52">
        <f t="shared" si="5"/>
        <v>6.0042051886985348</v>
      </c>
      <c r="M15" s="40"/>
      <c r="N15" s="40"/>
      <c r="O15" s="40"/>
    </row>
    <row r="16" spans="1:15" x14ac:dyDescent="0.2">
      <c r="A16" s="50" t="str">
        <f>Coumarin!C16</f>
        <v>Benzyl Alcohol</v>
      </c>
      <c r="B16" s="51">
        <f>Coumarin!F16</f>
        <v>18.399999999999999</v>
      </c>
      <c r="C16" s="51">
        <f>Coumarin!G16</f>
        <v>6.3</v>
      </c>
      <c r="D16" s="51">
        <f>Coumarin!H16</f>
        <v>13.7</v>
      </c>
      <c r="E16" s="51">
        <f>Coumarin!I16</f>
        <v>103.8</v>
      </c>
      <c r="F16" s="40"/>
      <c r="G16" s="39">
        <f>Coumarin!U16</f>
        <v>1</v>
      </c>
      <c r="H16" s="52">
        <f t="shared" si="1"/>
        <v>6.1489929568772643</v>
      </c>
      <c r="I16" s="53">
        <f t="shared" si="2"/>
        <v>1</v>
      </c>
      <c r="J16" s="52">
        <f t="shared" si="3"/>
        <v>0.45194087691241513</v>
      </c>
      <c r="K16" s="40" t="str">
        <f t="shared" si="4"/>
        <v/>
      </c>
      <c r="L16" s="52">
        <f t="shared" si="5"/>
        <v>6.1489929568772643</v>
      </c>
      <c r="M16" s="40"/>
      <c r="N16" s="40"/>
      <c r="O16" s="40"/>
    </row>
    <row r="17" spans="1:15" x14ac:dyDescent="0.2">
      <c r="A17" s="50" t="str">
        <f>Coumarin!C17</f>
        <v>Butyl Diglycol Acetate</v>
      </c>
      <c r="B17" s="51">
        <f>Coumarin!F17</f>
        <v>16</v>
      </c>
      <c r="C17" s="51">
        <f>Coumarin!G17</f>
        <v>4.0999999999999996</v>
      </c>
      <c r="D17" s="51">
        <f>Coumarin!H17</f>
        <v>8.1999999999999993</v>
      </c>
      <c r="E17" s="51">
        <f>Coumarin!I17</f>
        <v>208.2</v>
      </c>
      <c r="F17" s="40"/>
      <c r="G17" s="39">
        <f>Coumarin!U17</f>
        <v>1</v>
      </c>
      <c r="H17" s="52">
        <f t="shared" si="1"/>
        <v>5.4261767778471075</v>
      </c>
      <c r="I17" s="53">
        <f t="shared" si="2"/>
        <v>1</v>
      </c>
      <c r="J17" s="52">
        <f t="shared" si="3"/>
        <v>0.39881507564897245</v>
      </c>
      <c r="K17" s="40" t="str">
        <f t="shared" si="4"/>
        <v/>
      </c>
      <c r="L17" s="52">
        <f t="shared" si="5"/>
        <v>5.4261767778471075</v>
      </c>
      <c r="M17" s="40"/>
      <c r="N17" s="40"/>
      <c r="O17" s="40"/>
    </row>
    <row r="18" spans="1:15" x14ac:dyDescent="0.2">
      <c r="A18" s="50" t="str">
        <f>Coumarin!C18</f>
        <v>Cyclohexane</v>
      </c>
      <c r="B18" s="51">
        <f>Coumarin!F18</f>
        <v>16.8</v>
      </c>
      <c r="C18" s="51">
        <f>Coumarin!G18</f>
        <v>0</v>
      </c>
      <c r="D18" s="51">
        <f>Coumarin!H18</f>
        <v>0.2</v>
      </c>
      <c r="E18" s="51">
        <f>Coumarin!I18</f>
        <v>108.9</v>
      </c>
      <c r="F18" s="40"/>
      <c r="G18" s="39">
        <f>Coumarin!U18</f>
        <v>1</v>
      </c>
      <c r="H18" s="52">
        <f t="shared" si="1"/>
        <v>13.169607940356528</v>
      </c>
      <c r="I18" s="53">
        <f t="shared" si="2"/>
        <v>1</v>
      </c>
      <c r="J18" s="52">
        <f t="shared" si="3"/>
        <v>0.96794454033332789</v>
      </c>
      <c r="K18" s="40" t="str">
        <f t="shared" si="4"/>
        <v/>
      </c>
      <c r="L18" s="52">
        <f t="shared" si="5"/>
        <v>13.169607940356528</v>
      </c>
      <c r="M18" s="40"/>
      <c r="N18" s="40"/>
      <c r="O18" s="40"/>
    </row>
    <row r="19" spans="1:15" x14ac:dyDescent="0.2">
      <c r="A19" s="50" t="str">
        <f>Coumarin!C19</f>
        <v>Cyclohexanol</v>
      </c>
      <c r="B19" s="51">
        <f>Coumarin!F19</f>
        <v>17.399999999999999</v>
      </c>
      <c r="C19" s="51">
        <f>Coumarin!G19</f>
        <v>4.0999999999999996</v>
      </c>
      <c r="D19" s="51">
        <f>Coumarin!H19</f>
        <v>13.51</v>
      </c>
      <c r="E19" s="51">
        <f>Coumarin!I19</f>
        <v>105.7</v>
      </c>
      <c r="F19" s="40"/>
      <c r="G19" s="39">
        <f>Coumarin!U19</f>
        <v>1</v>
      </c>
      <c r="H19" s="52">
        <f t="shared" si="1"/>
        <v>6.5984632009434376</v>
      </c>
      <c r="I19" s="53">
        <f t="shared" si="2"/>
        <v>1</v>
      </c>
      <c r="J19" s="52">
        <f t="shared" si="3"/>
        <v>0.48497620117996221</v>
      </c>
      <c r="K19" s="40" t="str">
        <f t="shared" si="4"/>
        <v/>
      </c>
      <c r="L19" s="52">
        <f t="shared" si="5"/>
        <v>6.5984632009434376</v>
      </c>
      <c r="M19" s="40"/>
      <c r="N19" s="40"/>
      <c r="O19" s="40"/>
    </row>
    <row r="20" spans="1:15" x14ac:dyDescent="0.2">
      <c r="A20" s="50" t="str">
        <f>Coumarin!C20</f>
        <v>Cyrene</v>
      </c>
      <c r="B20" s="51">
        <f>Coumarin!F20</f>
        <v>18.899999999999999</v>
      </c>
      <c r="C20" s="51">
        <f>Coumarin!G20</f>
        <v>12.7</v>
      </c>
      <c r="D20" s="51">
        <f>Coumarin!H20</f>
        <v>7.1</v>
      </c>
      <c r="E20" s="51">
        <f>Coumarin!I20</f>
        <v>101.6</v>
      </c>
      <c r="F20" s="40"/>
      <c r="G20" s="39">
        <f>Coumarin!U20</f>
        <v>1</v>
      </c>
      <c r="H20" s="52">
        <f t="shared" si="1"/>
        <v>6.2971501885727967</v>
      </c>
      <c r="I20" s="53">
        <f t="shared" si="2"/>
        <v>1</v>
      </c>
      <c r="J20" s="52">
        <f t="shared" si="3"/>
        <v>0.46283018995651387</v>
      </c>
      <c r="K20" s="40" t="str">
        <f t="shared" si="4"/>
        <v/>
      </c>
      <c r="L20" s="52">
        <f t="shared" si="5"/>
        <v>6.2971501885727967</v>
      </c>
      <c r="M20" s="40"/>
      <c r="N20" s="40"/>
      <c r="O20" s="40"/>
    </row>
    <row r="21" spans="1:15" x14ac:dyDescent="0.2">
      <c r="A21" s="50" t="str">
        <f>Coumarin!C21</f>
        <v>Diacetone Alcohol</v>
      </c>
      <c r="B21" s="51">
        <f>Coumarin!F21</f>
        <v>15.8</v>
      </c>
      <c r="C21" s="51">
        <f>Coumarin!G21</f>
        <v>8.1999999999999993</v>
      </c>
      <c r="D21" s="51">
        <f>Coumarin!H21</f>
        <v>10.8</v>
      </c>
      <c r="E21" s="51">
        <f>Coumarin!I21</f>
        <v>124.3</v>
      </c>
      <c r="F21" s="40"/>
      <c r="G21" s="39">
        <f>Coumarin!U21</f>
        <v>1</v>
      </c>
      <c r="H21" s="52">
        <f t="shared" si="1"/>
        <v>2.2341491656302703</v>
      </c>
      <c r="I21" s="53">
        <f t="shared" si="2"/>
        <v>1</v>
      </c>
      <c r="J21" s="52">
        <f t="shared" si="3"/>
        <v>0.16420629201384837</v>
      </c>
      <c r="K21" s="40" t="str">
        <f t="shared" si="4"/>
        <v/>
      </c>
      <c r="L21" s="52">
        <f t="shared" si="5"/>
        <v>2.2341491656302703</v>
      </c>
      <c r="M21" s="40"/>
      <c r="N21" s="40"/>
      <c r="O21" s="40"/>
    </row>
    <row r="22" spans="1:15" x14ac:dyDescent="0.2">
      <c r="A22" s="50" t="str">
        <f>Coumarin!C22</f>
        <v>Diethylene Glycol Monobutyl Ether</v>
      </c>
      <c r="B22" s="51">
        <f>Coumarin!F22</f>
        <v>16</v>
      </c>
      <c r="C22" s="51">
        <f>Coumarin!G22</f>
        <v>7</v>
      </c>
      <c r="D22" s="51">
        <f>Coumarin!H22</f>
        <v>10.6</v>
      </c>
      <c r="E22" s="51">
        <f>Coumarin!I22</f>
        <v>170.4</v>
      </c>
      <c r="F22" s="40"/>
      <c r="G22" s="39">
        <f>Coumarin!U22</f>
        <v>1</v>
      </c>
      <c r="H22" s="52">
        <f t="shared" si="1"/>
        <v>2.6920317782724346</v>
      </c>
      <c r="I22" s="53">
        <f t="shared" si="2"/>
        <v>1</v>
      </c>
      <c r="J22" s="52">
        <f t="shared" si="3"/>
        <v>0.19785991154662122</v>
      </c>
      <c r="K22" s="40" t="str">
        <f t="shared" si="4"/>
        <v/>
      </c>
      <c r="L22" s="52">
        <f t="shared" si="5"/>
        <v>2.6920317782724346</v>
      </c>
      <c r="M22" s="40"/>
      <c r="N22" s="40"/>
      <c r="O22" s="40"/>
    </row>
    <row r="23" spans="1:15" x14ac:dyDescent="0.2">
      <c r="A23" s="50" t="str">
        <f>Coumarin!C23</f>
        <v>Dimethyl  Isosorbide</v>
      </c>
      <c r="B23" s="51">
        <f>Coumarin!F23</f>
        <v>17.600000000000001</v>
      </c>
      <c r="C23" s="51">
        <f>Coumarin!G23</f>
        <v>7.1</v>
      </c>
      <c r="D23" s="51">
        <f>Coumarin!H23</f>
        <v>7.5</v>
      </c>
      <c r="E23" s="51">
        <f>Coumarin!I23</f>
        <v>150.1</v>
      </c>
      <c r="F23" s="40"/>
      <c r="G23" s="39">
        <f>Coumarin!U23</f>
        <v>1</v>
      </c>
      <c r="H23" s="52">
        <f t="shared" si="1"/>
        <v>3.5790144069251641</v>
      </c>
      <c r="I23" s="53">
        <f t="shared" si="2"/>
        <v>1</v>
      </c>
      <c r="J23" s="52">
        <f t="shared" si="3"/>
        <v>0.26305167706182686</v>
      </c>
      <c r="K23" s="40" t="str">
        <f t="shared" si="4"/>
        <v/>
      </c>
      <c r="L23" s="52">
        <f t="shared" si="5"/>
        <v>3.5790144069251641</v>
      </c>
      <c r="M23" s="40"/>
      <c r="N23" s="40"/>
      <c r="O23" s="40"/>
    </row>
    <row r="24" spans="1:15" x14ac:dyDescent="0.2">
      <c r="A24" s="50" t="str">
        <f>Coumarin!C24</f>
        <v>Dimethyl sulfoxide (DMSO)</v>
      </c>
      <c r="B24" s="51">
        <f>Coumarin!F24</f>
        <v>18.399999999999999</v>
      </c>
      <c r="C24" s="51">
        <f>Coumarin!G24</f>
        <v>16.399999999999999</v>
      </c>
      <c r="D24" s="51">
        <f>Coumarin!H24</f>
        <v>10.199999999999999</v>
      </c>
      <c r="E24" s="51">
        <f>Coumarin!I24</f>
        <v>71.3</v>
      </c>
      <c r="F24" s="40"/>
      <c r="G24" s="39">
        <f>Coumarin!U24</f>
        <v>1</v>
      </c>
      <c r="H24" s="52">
        <f t="shared" si="1"/>
        <v>8.068820623431483</v>
      </c>
      <c r="I24" s="53">
        <f t="shared" si="2"/>
        <v>1</v>
      </c>
      <c r="J24" s="52">
        <f t="shared" si="3"/>
        <v>0.59304505530845941</v>
      </c>
      <c r="K24" s="40" t="str">
        <f t="shared" si="4"/>
        <v/>
      </c>
      <c r="L24" s="52">
        <f t="shared" si="5"/>
        <v>8.068820623431483</v>
      </c>
      <c r="M24" s="40"/>
      <c r="N24" s="40"/>
      <c r="O24" s="40"/>
    </row>
    <row r="25" spans="1:15" x14ac:dyDescent="0.2">
      <c r="A25" s="50" t="str">
        <f>Coumarin!C25</f>
        <v>Dipropylene Glycol</v>
      </c>
      <c r="B25" s="51">
        <f>Coumarin!F25</f>
        <v>16.5</v>
      </c>
      <c r="C25" s="51">
        <f>Coumarin!G25</f>
        <v>10.6</v>
      </c>
      <c r="D25" s="51">
        <f>Coumarin!H25</f>
        <v>17.7</v>
      </c>
      <c r="E25" s="51">
        <f>Coumarin!I25</f>
        <v>131.80000000000001</v>
      </c>
      <c r="F25" s="40"/>
      <c r="G25" s="39">
        <f>Coumarin!U25</f>
        <v>1</v>
      </c>
      <c r="H25" s="52">
        <f t="shared" si="1"/>
        <v>8.2016126650672554</v>
      </c>
      <c r="I25" s="53">
        <f t="shared" si="2"/>
        <v>1</v>
      </c>
      <c r="J25" s="52">
        <f t="shared" si="3"/>
        <v>0.60280505213472657</v>
      </c>
      <c r="K25" s="40" t="str">
        <f t="shared" si="4"/>
        <v/>
      </c>
      <c r="L25" s="52">
        <f t="shared" si="5"/>
        <v>8.2016126650672554</v>
      </c>
      <c r="M25" s="40"/>
      <c r="N25" s="40"/>
      <c r="O25" s="40"/>
    </row>
    <row r="26" spans="1:15" x14ac:dyDescent="0.2">
      <c r="A26" s="50" t="str">
        <f>Coumarin!C26</f>
        <v>d-Limonene</v>
      </c>
      <c r="B26" s="51">
        <f>Coumarin!F26</f>
        <v>17.2</v>
      </c>
      <c r="C26" s="51">
        <f>Coumarin!G26</f>
        <v>1.8</v>
      </c>
      <c r="D26" s="51">
        <f>Coumarin!H26</f>
        <v>4.3</v>
      </c>
      <c r="E26" s="51">
        <f>Coumarin!I26</f>
        <v>162.9</v>
      </c>
      <c r="F26" s="40"/>
      <c r="G26" s="39">
        <f>Coumarin!U26</f>
        <v>1</v>
      </c>
      <c r="H26" s="52">
        <f t="shared" si="1"/>
        <v>9.1856661886076498</v>
      </c>
      <c r="I26" s="53">
        <f t="shared" si="2"/>
        <v>1</v>
      </c>
      <c r="J26" s="52">
        <f t="shared" si="3"/>
        <v>0.67513136889529313</v>
      </c>
      <c r="K26" s="40" t="str">
        <f t="shared" si="4"/>
        <v/>
      </c>
      <c r="L26" s="52">
        <f t="shared" si="5"/>
        <v>9.1856661886076498</v>
      </c>
      <c r="M26" s="40"/>
      <c r="N26" s="40"/>
      <c r="O26" s="40"/>
    </row>
    <row r="27" spans="1:15" x14ac:dyDescent="0.2">
      <c r="A27" s="50" t="str">
        <f>Coumarin!C27</f>
        <v>Ethanol</v>
      </c>
      <c r="B27" s="51">
        <f>Coumarin!F27</f>
        <v>15.8</v>
      </c>
      <c r="C27" s="51">
        <f>Coumarin!G27</f>
        <v>8.8000000000000007</v>
      </c>
      <c r="D27" s="51">
        <f>Coumarin!H27</f>
        <v>19.399999999999999</v>
      </c>
      <c r="E27" s="51">
        <f>Coumarin!I27</f>
        <v>58.6</v>
      </c>
      <c r="F27" s="40"/>
      <c r="G27" s="39">
        <f>Coumarin!U27</f>
        <v>1</v>
      </c>
      <c r="H27" s="52">
        <f t="shared" si="1"/>
        <v>9.9178626212576013</v>
      </c>
      <c r="I27" s="53">
        <f t="shared" si="2"/>
        <v>1</v>
      </c>
      <c r="J27" s="52">
        <f t="shared" si="3"/>
        <v>0.72894660338403316</v>
      </c>
      <c r="K27" s="40" t="str">
        <f t="shared" si="4"/>
        <v/>
      </c>
      <c r="L27" s="52">
        <f t="shared" si="5"/>
        <v>9.9178626212576013</v>
      </c>
      <c r="M27" s="40"/>
      <c r="N27" s="40"/>
      <c r="O27" s="40"/>
    </row>
    <row r="28" spans="1:15" x14ac:dyDescent="0.2">
      <c r="A28" s="50" t="str">
        <f>Coumarin!C28</f>
        <v>ethyl acetate</v>
      </c>
      <c r="B28" s="51">
        <f>Coumarin!F28</f>
        <v>15.8</v>
      </c>
      <c r="C28" s="51">
        <f>Coumarin!G28</f>
        <v>5.3</v>
      </c>
      <c r="D28" s="51">
        <f>Coumarin!H28</f>
        <v>7.2</v>
      </c>
      <c r="E28" s="51">
        <f>Coumarin!I28</f>
        <v>98.6</v>
      </c>
      <c r="F28" s="40"/>
      <c r="G28" s="39">
        <f>Coumarin!U28</f>
        <v>1</v>
      </c>
      <c r="H28" s="52">
        <f t="shared" si="1"/>
        <v>4.8624191859408965</v>
      </c>
      <c r="I28" s="53">
        <f t="shared" si="2"/>
        <v>1</v>
      </c>
      <c r="J28" s="52">
        <f t="shared" si="3"/>
        <v>0.35737981913804034</v>
      </c>
      <c r="K28" s="40" t="str">
        <f t="shared" si="4"/>
        <v/>
      </c>
      <c r="L28" s="52">
        <f t="shared" si="5"/>
        <v>4.8624191859408965</v>
      </c>
      <c r="M28" s="40"/>
      <c r="N28" s="40"/>
      <c r="O28" s="40"/>
    </row>
    <row r="29" spans="1:15" x14ac:dyDescent="0.2">
      <c r="A29" s="50" t="str">
        <f>Coumarin!C29</f>
        <v>Ethyl lactate</v>
      </c>
      <c r="B29" s="51">
        <f>Coumarin!F29</f>
        <v>16</v>
      </c>
      <c r="C29" s="51">
        <f>Coumarin!G29</f>
        <v>7.6</v>
      </c>
      <c r="D29" s="51">
        <f>Coumarin!H29</f>
        <v>12.5</v>
      </c>
      <c r="E29" s="51">
        <f>Coumarin!I29</f>
        <v>115</v>
      </c>
      <c r="F29" s="40"/>
      <c r="G29" s="39">
        <f>Coumarin!U29</f>
        <v>1</v>
      </c>
      <c r="H29" s="52">
        <f t="shared" si="1"/>
        <v>3.5069338399465519</v>
      </c>
      <c r="I29" s="53">
        <f t="shared" si="2"/>
        <v>1</v>
      </c>
      <c r="J29" s="52">
        <f t="shared" si="3"/>
        <v>0.25775387384801385</v>
      </c>
      <c r="K29" s="40" t="str">
        <f t="shared" si="4"/>
        <v/>
      </c>
      <c r="L29" s="52">
        <f t="shared" si="5"/>
        <v>3.5069338399465519</v>
      </c>
      <c r="M29" s="40"/>
      <c r="N29" s="40"/>
      <c r="O29" s="40"/>
    </row>
    <row r="30" spans="1:15" x14ac:dyDescent="0.2">
      <c r="A30" s="50" t="str">
        <f>Coumarin!C30</f>
        <v>Ethylene Carbonate</v>
      </c>
      <c r="B30" s="51">
        <f>Coumarin!F30</f>
        <v>18</v>
      </c>
      <c r="C30" s="51">
        <f>Coumarin!G30</f>
        <v>21.7</v>
      </c>
      <c r="D30" s="51">
        <f>Coumarin!H30</f>
        <v>5.0999999999999996</v>
      </c>
      <c r="E30" s="51">
        <f>Coumarin!I30</f>
        <v>66</v>
      </c>
      <c r="F30" s="40"/>
      <c r="G30" s="39">
        <f>Coumarin!U30</f>
        <v>1</v>
      </c>
      <c r="H30" s="52">
        <f t="shared" si="1"/>
        <v>13.587957669237593</v>
      </c>
      <c r="I30" s="53">
        <f t="shared" si="2"/>
        <v>1</v>
      </c>
      <c r="J30" s="52">
        <f t="shared" si="3"/>
        <v>0.99869255787904931</v>
      </c>
      <c r="K30" s="40" t="str">
        <f t="shared" si="4"/>
        <v/>
      </c>
      <c r="L30" s="52">
        <f t="shared" si="5"/>
        <v>13.587957669237593</v>
      </c>
      <c r="M30" s="40"/>
      <c r="N30" s="40"/>
      <c r="O30" s="40"/>
    </row>
    <row r="31" spans="1:15" x14ac:dyDescent="0.2">
      <c r="A31" s="50" t="str">
        <f>Coumarin!C31</f>
        <v>Glycerol Carbonate</v>
      </c>
      <c r="B31" s="51">
        <f>Coumarin!F31</f>
        <v>17.899999999999999</v>
      </c>
      <c r="C31" s="51">
        <f>Coumarin!G31</f>
        <v>25.5</v>
      </c>
      <c r="D31" s="51">
        <f>Coumarin!H31</f>
        <v>17.399999999999999</v>
      </c>
      <c r="E31" s="51">
        <f>Coumarin!I31</f>
        <v>83.2</v>
      </c>
      <c r="F31" s="40"/>
      <c r="G31" s="39">
        <f>Coumarin!U31</f>
        <v>0</v>
      </c>
      <c r="H31" s="52">
        <f t="shared" si="1"/>
        <v>18.250509071388912</v>
      </c>
      <c r="I31" s="53">
        <f t="shared" si="2"/>
        <v>1</v>
      </c>
      <c r="J31" s="52">
        <f t="shared" si="3"/>
        <v>1.341382423376571</v>
      </c>
      <c r="K31" s="40" t="str">
        <f t="shared" si="4"/>
        <v/>
      </c>
      <c r="L31" s="52" t="str">
        <f t="shared" si="5"/>
        <v/>
      </c>
      <c r="M31" s="40"/>
      <c r="N31" s="40"/>
      <c r="O31" s="40"/>
    </row>
    <row r="32" spans="1:15" x14ac:dyDescent="0.2">
      <c r="A32" s="50" t="str">
        <f>Coumarin!C32</f>
        <v>Heptane</v>
      </c>
      <c r="B32" s="51">
        <f>Coumarin!F32</f>
        <v>15.3</v>
      </c>
      <c r="C32" s="51">
        <f>Coumarin!G32</f>
        <v>0</v>
      </c>
      <c r="D32" s="51">
        <f>Coumarin!H32</f>
        <v>0</v>
      </c>
      <c r="E32" s="51">
        <f>Coumarin!I32</f>
        <v>147</v>
      </c>
      <c r="F32" s="40"/>
      <c r="G32" s="39">
        <f>Coumarin!U32</f>
        <v>1</v>
      </c>
      <c r="H32" s="52">
        <f t="shared" si="1"/>
        <v>13.563271630654066</v>
      </c>
      <c r="I32" s="53">
        <f t="shared" si="2"/>
        <v>1</v>
      </c>
      <c r="J32" s="52">
        <f t="shared" si="3"/>
        <v>0.99687817461285055</v>
      </c>
      <c r="K32" s="40" t="str">
        <f t="shared" si="4"/>
        <v/>
      </c>
      <c r="L32" s="52">
        <f t="shared" si="5"/>
        <v>13.563271630654066</v>
      </c>
      <c r="M32" s="40"/>
      <c r="N32" s="40"/>
      <c r="O32" s="40"/>
    </row>
    <row r="33" spans="1:15" x14ac:dyDescent="0.2">
      <c r="A33" s="50" t="str">
        <f>Coumarin!C33</f>
        <v>Hexane</v>
      </c>
      <c r="B33" s="51">
        <f>Coumarin!F33</f>
        <v>14.9</v>
      </c>
      <c r="C33" s="51">
        <f>Coumarin!G33</f>
        <v>0.1</v>
      </c>
      <c r="D33" s="51">
        <f>Coumarin!H33</f>
        <v>0.1</v>
      </c>
      <c r="E33" s="51">
        <f>Coumarin!I33</f>
        <v>127.5</v>
      </c>
      <c r="F33" s="40"/>
      <c r="G33" s="39">
        <f>Coumarin!U33</f>
        <v>1</v>
      </c>
      <c r="H33" s="52">
        <f t="shared" si="1"/>
        <v>13.60330100492976</v>
      </c>
      <c r="I33" s="53">
        <f t="shared" si="2"/>
        <v>1</v>
      </c>
      <c r="J33" s="52">
        <f t="shared" si="3"/>
        <v>0.99982026783677891</v>
      </c>
      <c r="K33" s="40" t="str">
        <f t="shared" si="4"/>
        <v/>
      </c>
      <c r="L33" s="52">
        <f t="shared" si="5"/>
        <v>13.60330100492976</v>
      </c>
      <c r="M33" s="40"/>
      <c r="N33" s="40"/>
      <c r="O33" s="40"/>
    </row>
    <row r="34" spans="1:15" x14ac:dyDescent="0.2">
      <c r="A34" s="50" t="str">
        <f>Coumarin!C34</f>
        <v>Iso-Butyl Isobutyrate</v>
      </c>
      <c r="B34" s="51">
        <f>Coumarin!F34</f>
        <v>15.1</v>
      </c>
      <c r="C34" s="51">
        <f>Coumarin!G34</f>
        <v>2.8</v>
      </c>
      <c r="D34" s="51">
        <f>Coumarin!H34</f>
        <v>5.8</v>
      </c>
      <c r="E34" s="51">
        <f>Coumarin!I34</f>
        <v>169.8</v>
      </c>
      <c r="F34" s="40"/>
      <c r="G34" s="39">
        <f>Coumarin!U34</f>
        <v>1</v>
      </c>
      <c r="H34" s="52">
        <f t="shared" si="1"/>
        <v>8.036972655375429</v>
      </c>
      <c r="I34" s="53">
        <f t="shared" si="2"/>
        <v>1</v>
      </c>
      <c r="J34" s="52">
        <f t="shared" si="3"/>
        <v>0.59070428199613456</v>
      </c>
      <c r="K34" s="40" t="str">
        <f t="shared" si="4"/>
        <v/>
      </c>
      <c r="L34" s="52">
        <f t="shared" si="5"/>
        <v>8.036972655375429</v>
      </c>
      <c r="M34" s="40"/>
      <c r="N34" s="40"/>
      <c r="O34" s="40"/>
    </row>
    <row r="35" spans="1:15" x14ac:dyDescent="0.2">
      <c r="A35" s="50" t="str">
        <f>Coumarin!C35</f>
        <v>Iso-Propyl Acetate</v>
      </c>
      <c r="B35" s="51">
        <f>Coumarin!F35</f>
        <v>14.9</v>
      </c>
      <c r="C35" s="51">
        <f>Coumarin!G35</f>
        <v>4.5</v>
      </c>
      <c r="D35" s="51">
        <f>Coumarin!H35</f>
        <v>8.1999999999999993</v>
      </c>
      <c r="E35" s="51">
        <f>Coumarin!I35</f>
        <v>117.1</v>
      </c>
      <c r="F35" s="40"/>
      <c r="G35" s="39">
        <f>Coumarin!U35</f>
        <v>1</v>
      </c>
      <c r="H35" s="52">
        <f t="shared" si="1"/>
        <v>5.9777507391242146</v>
      </c>
      <c r="I35" s="53">
        <f t="shared" si="2"/>
        <v>1</v>
      </c>
      <c r="J35" s="52">
        <f t="shared" si="3"/>
        <v>0.4393548553315671</v>
      </c>
      <c r="K35" s="40" t="str">
        <f t="shared" si="4"/>
        <v/>
      </c>
      <c r="L35" s="52">
        <f t="shared" si="5"/>
        <v>5.9777507391242146</v>
      </c>
      <c r="M35" s="40"/>
      <c r="N35" s="40"/>
      <c r="O35" s="40"/>
    </row>
    <row r="36" spans="1:15" x14ac:dyDescent="0.2">
      <c r="A36" s="50" t="str">
        <f>Coumarin!C36</f>
        <v>Methanol</v>
      </c>
      <c r="B36" s="51">
        <f>Coumarin!F36</f>
        <v>14.7</v>
      </c>
      <c r="C36" s="51">
        <f>Coumarin!G36</f>
        <v>12.3</v>
      </c>
      <c r="D36" s="51">
        <f>Coumarin!H36</f>
        <v>22.3</v>
      </c>
      <c r="E36" s="51">
        <f>Coumarin!I36</f>
        <v>40.6</v>
      </c>
      <c r="F36" s="40"/>
      <c r="G36" s="39">
        <f>Coumarin!U36</f>
        <v>1</v>
      </c>
      <c r="H36" s="52">
        <f t="shared" si="1"/>
        <v>13.599549543929182</v>
      </c>
      <c r="I36" s="53">
        <f t="shared" si="2"/>
        <v>1</v>
      </c>
      <c r="J36" s="52">
        <f t="shared" si="3"/>
        <v>0.99954454161848694</v>
      </c>
      <c r="K36" s="40" t="str">
        <f t="shared" si="4"/>
        <v/>
      </c>
      <c r="L36" s="52">
        <f t="shared" si="5"/>
        <v>13.599549543929182</v>
      </c>
      <c r="M36" s="40"/>
      <c r="N36" s="40"/>
      <c r="O36" s="40"/>
    </row>
    <row r="37" spans="1:15" x14ac:dyDescent="0.2">
      <c r="A37" s="50" t="str">
        <f>Coumarin!C37</f>
        <v>Methyl acetate</v>
      </c>
      <c r="B37" s="51">
        <f>Coumarin!F37</f>
        <v>15.5</v>
      </c>
      <c r="C37" s="51">
        <f>Coumarin!G37</f>
        <v>7.2</v>
      </c>
      <c r="D37" s="51">
        <f>Coumarin!H37</f>
        <v>7.6</v>
      </c>
      <c r="E37" s="51">
        <f>Coumarin!I37</f>
        <v>79.8</v>
      </c>
      <c r="F37" s="40"/>
      <c r="G37" s="39">
        <f>Coumarin!U37</f>
        <v>1</v>
      </c>
      <c r="H37" s="52">
        <f t="shared" si="1"/>
        <v>3.6036950609112499</v>
      </c>
      <c r="I37" s="53">
        <f t="shared" si="2"/>
        <v>1</v>
      </c>
      <c r="J37" s="52">
        <f t="shared" si="3"/>
        <v>0.26486566456896304</v>
      </c>
      <c r="K37" s="40" t="str">
        <f t="shared" si="4"/>
        <v/>
      </c>
      <c r="L37" s="52">
        <f t="shared" si="5"/>
        <v>3.6036950609112499</v>
      </c>
      <c r="M37" s="40"/>
      <c r="N37" s="40"/>
      <c r="O37" s="40"/>
    </row>
    <row r="38" spans="1:15" x14ac:dyDescent="0.2">
      <c r="A38" s="50" t="str">
        <f>Coumarin!C38</f>
        <v>Methyl ethyl ketone (MEK)</v>
      </c>
      <c r="B38" s="51">
        <f>Coumarin!F38</f>
        <v>16</v>
      </c>
      <c r="C38" s="51">
        <f>Coumarin!G38</f>
        <v>9</v>
      </c>
      <c r="D38" s="51">
        <f>Coumarin!H38</f>
        <v>5.0999999999999996</v>
      </c>
      <c r="E38" s="51">
        <f>Coumarin!I38</f>
        <v>90.2</v>
      </c>
      <c r="F38" s="40"/>
      <c r="G38" s="39">
        <f>Coumarin!U38</f>
        <v>1</v>
      </c>
      <c r="H38" s="52">
        <f t="shared" si="1"/>
        <v>4.6884148595209574</v>
      </c>
      <c r="I38" s="53">
        <f t="shared" si="2"/>
        <v>1</v>
      </c>
      <c r="J38" s="52">
        <f t="shared" si="3"/>
        <v>0.34459078710949853</v>
      </c>
      <c r="K38" s="40" t="str">
        <f t="shared" si="4"/>
        <v/>
      </c>
      <c r="L38" s="52">
        <f t="shared" si="5"/>
        <v>4.6884148595209574</v>
      </c>
      <c r="M38" s="40"/>
      <c r="N38" s="40"/>
      <c r="O38" s="40"/>
    </row>
    <row r="39" spans="1:15" x14ac:dyDescent="0.2">
      <c r="A39" s="50" t="str">
        <f>Coumarin!C39</f>
        <v>Methylene Chloride</v>
      </c>
      <c r="B39" s="51">
        <f>Coumarin!F39</f>
        <v>17</v>
      </c>
      <c r="C39" s="51">
        <f>Coumarin!G39</f>
        <v>7.3</v>
      </c>
      <c r="D39" s="51">
        <f>Coumarin!H39</f>
        <v>7.1</v>
      </c>
      <c r="E39" s="51">
        <f>Coumarin!I39</f>
        <v>64.400000000000006</v>
      </c>
      <c r="F39" s="40"/>
      <c r="G39" s="39">
        <f>Coumarin!U39</f>
        <v>1</v>
      </c>
      <c r="H39" s="52">
        <f t="shared" si="1"/>
        <v>3.249101886010421</v>
      </c>
      <c r="I39" s="53">
        <f t="shared" si="2"/>
        <v>1</v>
      </c>
      <c r="J39" s="52">
        <f t="shared" si="3"/>
        <v>0.23880364896157766</v>
      </c>
      <c r="K39" s="40" t="str">
        <f t="shared" si="4"/>
        <v/>
      </c>
      <c r="L39" s="52">
        <f t="shared" si="5"/>
        <v>3.249101886010421</v>
      </c>
      <c r="M39" s="40"/>
      <c r="N39" s="40"/>
      <c r="O39" s="40"/>
    </row>
    <row r="40" spans="1:15" x14ac:dyDescent="0.2">
      <c r="A40" s="50" t="str">
        <f>Coumarin!C40</f>
        <v>Methyl-t-butyl ether (MTBE)</v>
      </c>
      <c r="B40" s="51">
        <f>Coumarin!F40</f>
        <v>14.8</v>
      </c>
      <c r="C40" s="51">
        <f>Coumarin!G40</f>
        <v>4.3</v>
      </c>
      <c r="D40" s="51">
        <f>Coumarin!H40</f>
        <v>5</v>
      </c>
      <c r="E40" s="51">
        <f>Coumarin!I40</f>
        <v>119.8</v>
      </c>
      <c r="F40" s="40"/>
      <c r="G40" s="39">
        <f>Coumarin!U40</f>
        <v>1</v>
      </c>
      <c r="H40" s="52">
        <f t="shared" si="1"/>
        <v>7.6423591217051481</v>
      </c>
      <c r="I40" s="53">
        <f t="shared" si="2"/>
        <v>1</v>
      </c>
      <c r="J40" s="52">
        <f t="shared" si="3"/>
        <v>0.56170083578971319</v>
      </c>
      <c r="K40" s="40" t="str">
        <f t="shared" si="4"/>
        <v/>
      </c>
      <c r="L40" s="52">
        <f t="shared" si="5"/>
        <v>7.6423591217051481</v>
      </c>
      <c r="M40" s="40"/>
      <c r="N40" s="40"/>
      <c r="O40" s="40"/>
    </row>
    <row r="41" spans="1:15" x14ac:dyDescent="0.2">
      <c r="A41" s="50" t="str">
        <f>Coumarin!C41</f>
        <v>Mthyl Cyclohexane</v>
      </c>
      <c r="B41" s="51">
        <f>Coumarin!F41</f>
        <v>16</v>
      </c>
      <c r="C41" s="51">
        <f>Coumarin!G41</f>
        <v>0</v>
      </c>
      <c r="D41" s="51">
        <f>Coumarin!H41</f>
        <v>1</v>
      </c>
      <c r="E41" s="51">
        <f>Coumarin!I41</f>
        <v>128.19999999999999</v>
      </c>
      <c r="F41" s="40"/>
      <c r="G41" s="39">
        <f>Coumarin!U41</f>
        <v>1</v>
      </c>
      <c r="H41" s="52">
        <f t="shared" si="1"/>
        <v>12.662652544346681</v>
      </c>
      <c r="I41" s="53">
        <f t="shared" si="2"/>
        <v>1</v>
      </c>
      <c r="J41" s="52">
        <f t="shared" si="3"/>
        <v>0.93068415187054376</v>
      </c>
      <c r="K41" s="40" t="str">
        <f t="shared" si="4"/>
        <v/>
      </c>
      <c r="L41" s="52">
        <f t="shared" si="5"/>
        <v>12.662652544346681</v>
      </c>
      <c r="M41" s="40"/>
      <c r="N41" s="40"/>
      <c r="O41" s="40"/>
    </row>
    <row r="42" spans="1:15" x14ac:dyDescent="0.2">
      <c r="A42" s="50" t="str">
        <f>Coumarin!C42</f>
        <v>n-Propyl Acetate</v>
      </c>
      <c r="B42" s="51">
        <f>Coumarin!F42</f>
        <v>15.3</v>
      </c>
      <c r="C42" s="51">
        <f>Coumarin!G42</f>
        <v>4.3</v>
      </c>
      <c r="D42" s="51">
        <f>Coumarin!H42</f>
        <v>7.6</v>
      </c>
      <c r="E42" s="51">
        <f>Coumarin!I42</f>
        <v>115.8</v>
      </c>
      <c r="F42" s="40"/>
      <c r="G42" s="39">
        <f>Coumarin!U42</f>
        <v>1</v>
      </c>
      <c r="H42" s="52">
        <f t="shared" si="1"/>
        <v>5.9065702834842799</v>
      </c>
      <c r="I42" s="53">
        <f t="shared" si="2"/>
        <v>1</v>
      </c>
      <c r="J42" s="52">
        <f t="shared" si="3"/>
        <v>0.43412320882187999</v>
      </c>
      <c r="K42" s="40" t="str">
        <f t="shared" si="4"/>
        <v/>
      </c>
      <c r="L42" s="52">
        <f t="shared" si="5"/>
        <v>5.9065702834842799</v>
      </c>
      <c r="M42" s="40"/>
      <c r="N42" s="40"/>
      <c r="O42" s="40"/>
    </row>
    <row r="43" spans="1:15" x14ac:dyDescent="0.2">
      <c r="A43" s="50" t="str">
        <f>Coumarin!C43</f>
        <v>Propylene glycol</v>
      </c>
      <c r="B43" s="51">
        <f>Coumarin!F43</f>
        <v>16.8</v>
      </c>
      <c r="C43" s="51">
        <f>Coumarin!G43</f>
        <v>10.4</v>
      </c>
      <c r="D43" s="51">
        <f>Coumarin!H43</f>
        <v>21.3</v>
      </c>
      <c r="E43" s="51">
        <f>Coumarin!I43</f>
        <v>73.7</v>
      </c>
      <c r="F43" s="40"/>
      <c r="G43" s="39">
        <f>Coumarin!U43</f>
        <v>1</v>
      </c>
      <c r="H43" s="52">
        <f t="shared" si="1"/>
        <v>11.745402086685697</v>
      </c>
      <c r="I43" s="53">
        <f t="shared" si="2"/>
        <v>1</v>
      </c>
      <c r="J43" s="52">
        <f t="shared" si="3"/>
        <v>0.86326775066618411</v>
      </c>
      <c r="K43" s="40" t="str">
        <f t="shared" si="4"/>
        <v/>
      </c>
      <c r="L43" s="52">
        <f t="shared" si="5"/>
        <v>11.745402086685697</v>
      </c>
      <c r="M43" s="40"/>
      <c r="N43" s="40"/>
      <c r="O43" s="40"/>
    </row>
    <row r="44" spans="1:15" x14ac:dyDescent="0.2">
      <c r="A44" s="50" t="str">
        <f>Coumarin!C44</f>
        <v>Tetrahydrofuran (Thf)</v>
      </c>
      <c r="B44" s="51">
        <f>Coumarin!F44</f>
        <v>16.8</v>
      </c>
      <c r="C44" s="51">
        <f>Coumarin!G44</f>
        <v>5.7</v>
      </c>
      <c r="D44" s="51">
        <f>Coumarin!H44</f>
        <v>8</v>
      </c>
      <c r="E44" s="51">
        <f>Coumarin!I44</f>
        <v>81.900000000000006</v>
      </c>
      <c r="F44" s="40"/>
      <c r="G44" s="39">
        <f>Coumarin!U44</f>
        <v>1</v>
      </c>
      <c r="H44" s="52">
        <f t="shared" si="1"/>
        <v>3.8698811553900856</v>
      </c>
      <c r="I44" s="53">
        <f t="shared" si="2"/>
        <v>1</v>
      </c>
      <c r="J44" s="52">
        <f t="shared" si="3"/>
        <v>0.28442990505587196</v>
      </c>
      <c r="K44" s="40" t="str">
        <f t="shared" si="4"/>
        <v/>
      </c>
      <c r="L44" s="52">
        <f t="shared" si="5"/>
        <v>3.8698811553900856</v>
      </c>
      <c r="M44" s="40"/>
      <c r="N44" s="40"/>
      <c r="O44" s="40"/>
    </row>
    <row r="45" spans="1:15" x14ac:dyDescent="0.2">
      <c r="A45" s="50" t="str">
        <f>Coumarin!C45</f>
        <v>Tetrahydrofurfuryl Alcohol</v>
      </c>
      <c r="B45" s="51">
        <f>Coumarin!F45</f>
        <v>17.8</v>
      </c>
      <c r="C45" s="51">
        <f>Coumarin!G45</f>
        <v>8.1999999999999993</v>
      </c>
      <c r="D45" s="51">
        <f>Coumarin!H45</f>
        <v>12.9</v>
      </c>
      <c r="E45" s="51">
        <f>Coumarin!I45</f>
        <v>97.4</v>
      </c>
      <c r="F45" s="40"/>
      <c r="G45" s="39">
        <f>Coumarin!U45</f>
        <v>1</v>
      </c>
      <c r="H45" s="52">
        <f t="shared" si="1"/>
        <v>4.1703547618743508</v>
      </c>
      <c r="I45" s="53">
        <f t="shared" si="2"/>
        <v>1</v>
      </c>
      <c r="J45" s="52">
        <f t="shared" si="3"/>
        <v>0.30651422132617356</v>
      </c>
      <c r="K45" s="40" t="str">
        <f t="shared" si="4"/>
        <v/>
      </c>
      <c r="L45" s="52">
        <f t="shared" si="5"/>
        <v>4.1703547618743508</v>
      </c>
      <c r="M45" s="40"/>
      <c r="N45" s="40"/>
      <c r="O45" s="40"/>
    </row>
    <row r="46" spans="1:15" x14ac:dyDescent="0.2">
      <c r="A46" s="50" t="str">
        <f>Coumarin!C46</f>
        <v>Toluene</v>
      </c>
      <c r="B46" s="51">
        <f>Coumarin!F46</f>
        <v>18</v>
      </c>
      <c r="C46" s="51">
        <f>Coumarin!G46</f>
        <v>1.4</v>
      </c>
      <c r="D46" s="51">
        <f>Coumarin!H46</f>
        <v>2</v>
      </c>
      <c r="E46" s="51">
        <f>Coumarin!I46</f>
        <v>106.6</v>
      </c>
      <c r="F46" s="40"/>
      <c r="G46" s="39">
        <f>Coumarin!U46</f>
        <v>1</v>
      </c>
      <c r="H46" s="52">
        <f t="shared" si="1"/>
        <v>11.250125667346333</v>
      </c>
      <c r="I46" s="53">
        <f t="shared" si="2"/>
        <v>1</v>
      </c>
      <c r="J46" s="52">
        <f t="shared" si="3"/>
        <v>0.82686574779514055</v>
      </c>
      <c r="K46" s="40" t="str">
        <f t="shared" si="4"/>
        <v/>
      </c>
      <c r="L46" s="52">
        <f t="shared" si="5"/>
        <v>11.250125667346333</v>
      </c>
      <c r="M46" s="40"/>
      <c r="N46" s="40"/>
      <c r="O46" s="40"/>
    </row>
    <row r="47" spans="1:15" x14ac:dyDescent="0.2">
      <c r="A47" s="50" t="str">
        <f>Coumarin!C47</f>
        <v>Water</v>
      </c>
      <c r="B47" s="51">
        <f>Coumarin!F47</f>
        <v>15.5</v>
      </c>
      <c r="C47" s="51">
        <f>Coumarin!G47</f>
        <v>16</v>
      </c>
      <c r="D47" s="51">
        <f>Coumarin!H47</f>
        <v>42.3</v>
      </c>
      <c r="E47" s="51">
        <f>Coumarin!I47</f>
        <v>18</v>
      </c>
      <c r="F47" s="40"/>
      <c r="G47" s="39">
        <f>Coumarin!U47</f>
        <v>0</v>
      </c>
      <c r="H47" s="52">
        <f t="shared" si="1"/>
        <v>33.452218072485834</v>
      </c>
      <c r="I47" s="53">
        <f t="shared" si="2"/>
        <v>1</v>
      </c>
      <c r="J47" s="52">
        <f t="shared" si="3"/>
        <v>2.4586830520655543</v>
      </c>
      <c r="K47" s="40" t="str">
        <f t="shared" si="4"/>
        <v/>
      </c>
      <c r="L47" s="52" t="str">
        <f t="shared" si="5"/>
        <v/>
      </c>
      <c r="M47" s="40"/>
      <c r="N47" s="40"/>
      <c r="O47" s="40"/>
    </row>
    <row r="48" spans="1:15" x14ac:dyDescent="0.2">
      <c r="A48" s="50" t="str">
        <f>Coumarin!C48</f>
        <v>Xylene</v>
      </c>
      <c r="B48" s="51">
        <f>Coumarin!F48</f>
        <v>17.600000000000001</v>
      </c>
      <c r="C48" s="51">
        <f>Coumarin!G48</f>
        <v>1</v>
      </c>
      <c r="D48" s="51">
        <f>Coumarin!H48</f>
        <v>3.1</v>
      </c>
      <c r="E48" s="51">
        <f>Coumarin!I48</f>
        <v>123.9</v>
      </c>
      <c r="F48" s="40"/>
      <c r="G48" s="39">
        <f>Coumarin!U48</f>
        <v>1</v>
      </c>
      <c r="H48" s="52">
        <f t="shared" si="1"/>
        <v>10.657815537027718</v>
      </c>
      <c r="I48" s="53">
        <f t="shared" si="2"/>
        <v>1</v>
      </c>
      <c r="J48" s="52">
        <f t="shared" si="3"/>
        <v>0.78333192663489537</v>
      </c>
      <c r="K48" s="40" t="str">
        <f t="shared" si="4"/>
        <v/>
      </c>
      <c r="L48" s="52">
        <f t="shared" si="5"/>
        <v>10.657815537027718</v>
      </c>
      <c r="M48" s="40"/>
      <c r="N48" s="40"/>
      <c r="O48" s="40"/>
    </row>
    <row r="49" spans="1:15" x14ac:dyDescent="0.2">
      <c r="A49" s="54"/>
      <c r="B49" s="55"/>
      <c r="C49" s="55"/>
      <c r="D49" s="55"/>
      <c r="E49" s="56"/>
      <c r="F49" s="40"/>
      <c r="G49" s="39"/>
      <c r="H49" s="57"/>
      <c r="I49" s="40"/>
      <c r="J49" s="52"/>
      <c r="K49" s="40"/>
      <c r="L49" s="58"/>
      <c r="M49" s="40"/>
      <c r="N49" s="40"/>
      <c r="O49" s="40"/>
    </row>
    <row r="50" spans="1:15" x14ac:dyDescent="0.2">
      <c r="A50" s="54"/>
      <c r="B50" s="55"/>
      <c r="C50" s="55"/>
      <c r="D50" s="55"/>
      <c r="E50" s="56"/>
      <c r="F50" s="40"/>
      <c r="G50" s="39"/>
      <c r="H50" s="57"/>
      <c r="I50" s="40"/>
      <c r="J50" s="52"/>
      <c r="K50" s="40"/>
      <c r="L50" s="58"/>
      <c r="M50" s="40"/>
      <c r="N50" s="40"/>
      <c r="O50" s="40"/>
    </row>
    <row r="51" spans="1:15" ht="15.75" x14ac:dyDescent="0.25">
      <c r="A51" s="40"/>
      <c r="B51" s="40"/>
      <c r="C51" s="40"/>
      <c r="D51" s="40"/>
      <c r="E51" s="157" t="s">
        <v>23</v>
      </c>
      <c r="F51" s="158"/>
      <c r="G51" s="59">
        <f>COUNT(G9:G48)</f>
        <v>40</v>
      </c>
      <c r="H51" s="49" t="s">
        <v>24</v>
      </c>
      <c r="I51" s="60">
        <f>(PRODUCT(I9:I48))^(1/G51)</f>
        <v>1</v>
      </c>
      <c r="J51" s="40"/>
      <c r="K51" s="41" t="s">
        <v>25</v>
      </c>
      <c r="L51" s="61">
        <f>MAX(L9:L48)</f>
        <v>13.60330100492976</v>
      </c>
      <c r="M51" s="40"/>
      <c r="N51" s="40"/>
      <c r="O51" s="40"/>
    </row>
    <row r="52" spans="1:15" ht="15.75" x14ac:dyDescent="0.25">
      <c r="A52" s="62" t="s">
        <v>18</v>
      </c>
      <c r="B52" s="63" t="s">
        <v>1</v>
      </c>
      <c r="C52" s="63" t="s">
        <v>2</v>
      </c>
      <c r="D52" s="63" t="s">
        <v>3</v>
      </c>
      <c r="E52" s="63" t="s">
        <v>19</v>
      </c>
      <c r="F52" s="63"/>
      <c r="G52" s="64" t="s">
        <v>20</v>
      </c>
      <c r="H52" s="40"/>
      <c r="I52" s="40"/>
      <c r="J52" s="40"/>
      <c r="K52" s="40"/>
      <c r="L52" s="40"/>
      <c r="M52" s="40"/>
      <c r="N52" s="40"/>
      <c r="O52" s="40"/>
    </row>
    <row r="53" spans="1:15" x14ac:dyDescent="0.2">
      <c r="A53" s="65"/>
      <c r="B53" s="66"/>
      <c r="C53" s="66"/>
      <c r="D53" s="66"/>
      <c r="E53" s="66"/>
      <c r="F53" s="66"/>
      <c r="G53" s="67">
        <f>1</f>
        <v>1</v>
      </c>
      <c r="H53" s="40"/>
      <c r="I53" s="40"/>
      <c r="J53" s="40"/>
      <c r="K53" s="40"/>
      <c r="L53" s="40"/>
      <c r="M53" s="40"/>
      <c r="N53" s="40"/>
      <c r="O53" s="40"/>
    </row>
    <row r="54" spans="1:15" x14ac:dyDescent="0.2">
      <c r="A54" s="68" t="s">
        <v>26</v>
      </c>
      <c r="B54" s="69">
        <f>DMAX($A$8:$G$48,"Dd",$A$52:$G$53)</f>
        <v>18.899999999999999</v>
      </c>
      <c r="C54" s="69">
        <f>DMAX($A$8:$G$48,"Dp",$A$52:$G$53)</f>
        <v>21.7</v>
      </c>
      <c r="D54" s="69">
        <f>DMAX($A$8:$G$48,"DH",$A$52:$G$53)</f>
        <v>22.3</v>
      </c>
      <c r="E54" s="69"/>
      <c r="F54" s="69"/>
      <c r="G54" s="70"/>
      <c r="H54" s="40"/>
      <c r="I54" s="40"/>
      <c r="J54" s="40"/>
      <c r="K54" s="40"/>
      <c r="L54" s="40"/>
      <c r="M54" s="40"/>
      <c r="N54" s="40"/>
      <c r="O54" s="40"/>
    </row>
    <row r="55" spans="1:15" x14ac:dyDescent="0.2">
      <c r="A55" s="71" t="s">
        <v>27</v>
      </c>
      <c r="B55" s="72">
        <f>DMIN($A$8:$G$48,"Dd",A52:G53)</f>
        <v>14.7</v>
      </c>
      <c r="C55" s="72">
        <f>DMIN($A$8:$G$48,"Dp",$A$52:$G$53)</f>
        <v>0</v>
      </c>
      <c r="D55" s="72">
        <f>DMIN($A$8:$G$48,"DH",$A$52:$G$53)</f>
        <v>0</v>
      </c>
      <c r="E55" s="72"/>
      <c r="F55" s="72"/>
      <c r="G55" s="73"/>
      <c r="H55" s="40"/>
      <c r="I55" s="40"/>
      <c r="J55" s="40"/>
      <c r="K55" s="40"/>
      <c r="L55" s="40"/>
      <c r="M55" s="40"/>
      <c r="N55" s="40"/>
      <c r="O55" s="40"/>
    </row>
    <row r="56" spans="1:15" x14ac:dyDescent="0.2">
      <c r="A56" s="71" t="s">
        <v>14</v>
      </c>
      <c r="B56" s="74">
        <f>B54-B55</f>
        <v>4.1999999999999993</v>
      </c>
      <c r="C56" s="72">
        <f t="shared" ref="C56:D56" si="6">C54-C55</f>
        <v>21.7</v>
      </c>
      <c r="D56" s="72">
        <f t="shared" si="6"/>
        <v>22.3</v>
      </c>
      <c r="E56" s="72"/>
      <c r="F56" s="72"/>
      <c r="G56" s="73"/>
      <c r="H56" s="40"/>
      <c r="I56" s="40"/>
      <c r="J56" s="40"/>
      <c r="K56" s="40"/>
      <c r="L56" s="40"/>
      <c r="M56" s="40"/>
      <c r="N56" s="40"/>
      <c r="O56" s="40"/>
    </row>
    <row r="57" spans="1:15" x14ac:dyDescent="0.2">
      <c r="A57" s="65" t="s">
        <v>28</v>
      </c>
      <c r="B57" s="75">
        <f>B54-B56/2</f>
        <v>16.799999999999997</v>
      </c>
      <c r="C57" s="75">
        <f>C54-C56/2</f>
        <v>10.85</v>
      </c>
      <c r="D57" s="75">
        <f>D54-D56/2</f>
        <v>11.15</v>
      </c>
      <c r="E57" s="66"/>
      <c r="F57" s="66"/>
      <c r="G57" s="67"/>
      <c r="H57" s="40"/>
      <c r="I57" s="40"/>
      <c r="J57" s="40"/>
      <c r="K57" s="40"/>
      <c r="L57" s="40"/>
      <c r="M57" s="40"/>
      <c r="N57" s="40"/>
      <c r="O57" s="40"/>
    </row>
    <row r="58" spans="1:15" x14ac:dyDescent="0.2">
      <c r="A58" s="40"/>
      <c r="B58" s="38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</sheetData>
  <sortState ref="A9:L48">
    <sortCondition ref="A9:A48"/>
  </sortState>
  <mergeCells count="1">
    <mergeCell ref="E51:F51"/>
  </mergeCells>
  <conditionalFormatting sqref="G9:G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workbookViewId="0">
      <selection activeCell="L14" sqref="L14"/>
    </sheetView>
  </sheetViews>
  <sheetFormatPr baseColWidth="10" defaultRowHeight="15" x14ac:dyDescent="0.25"/>
  <cols>
    <col min="2" max="2" width="36.85546875" customWidth="1"/>
  </cols>
  <sheetData>
    <row r="3" spans="2:8" ht="15.75" x14ac:dyDescent="0.25">
      <c r="B3" s="125" t="s">
        <v>223</v>
      </c>
      <c r="C3" s="126" t="s">
        <v>187</v>
      </c>
      <c r="D3" s="126" t="s">
        <v>180</v>
      </c>
      <c r="E3" s="126" t="s">
        <v>182</v>
      </c>
      <c r="F3" s="126" t="s">
        <v>184</v>
      </c>
      <c r="G3" s="127" t="s">
        <v>224</v>
      </c>
      <c r="H3" s="127" t="s">
        <v>225</v>
      </c>
    </row>
    <row r="4" spans="2:8" ht="15.75" x14ac:dyDescent="0.25">
      <c r="B4" s="128" t="s">
        <v>201</v>
      </c>
      <c r="C4" s="25">
        <f>SQRT(D4^2+E4^2+F4^2)</f>
        <v>26.4592138961081</v>
      </c>
      <c r="D4" s="129">
        <f>Coumarin!F1</f>
        <v>19.8</v>
      </c>
      <c r="E4" s="129">
        <f>Coumarin!G1</f>
        <v>8.6</v>
      </c>
      <c r="F4" s="129">
        <f>Coumarin!H1</f>
        <v>15.3</v>
      </c>
      <c r="G4" s="130"/>
      <c r="H4" s="130"/>
    </row>
    <row r="5" spans="2:8" ht="15.75" x14ac:dyDescent="0.25">
      <c r="B5" s="128" t="s">
        <v>203</v>
      </c>
      <c r="C5" s="25">
        <f>SQRT(D5^2+E5^2+F5^2)</f>
        <v>15.122242302581991</v>
      </c>
      <c r="D5" s="129">
        <f>'Van Krevelen'!I7</f>
        <v>12.859928835363352</v>
      </c>
      <c r="E5" s="129">
        <f>'Van Krevelen'!I10</f>
        <v>5.595942269413257</v>
      </c>
      <c r="F5" s="129">
        <f>'Van Krevelen'!I13</f>
        <v>5.65595904553635</v>
      </c>
      <c r="G5" s="130"/>
      <c r="H5" s="130"/>
    </row>
    <row r="6" spans="2:8" ht="15.75" x14ac:dyDescent="0.25">
      <c r="B6" s="128" t="s">
        <v>226</v>
      </c>
      <c r="C6" s="25">
        <f>SQRT(D6^2+E6^2+F6^2)</f>
        <v>21.283319566830848</v>
      </c>
      <c r="D6" s="129">
        <f>'HSP Sphere'!B3</f>
        <v>16.609545078179462</v>
      </c>
      <c r="E6" s="129">
        <f>'HSP Sphere'!C3</f>
        <v>9.1923590166579832</v>
      </c>
      <c r="F6" s="129">
        <f>'HSP Sphere'!D3</f>
        <v>9.6230577151254728</v>
      </c>
      <c r="G6" s="129">
        <f>'HSP Sphere'!E3</f>
        <v>13.605746395161599</v>
      </c>
      <c r="H6" s="129">
        <f>'HSP Sphere'!J4</f>
        <v>1</v>
      </c>
    </row>
    <row r="7" spans="2:8" ht="15.75" x14ac:dyDescent="0.25">
      <c r="B7" s="130" t="s">
        <v>277</v>
      </c>
      <c r="C7" s="25">
        <f>SQRT(D7^2+E7^2+F7^2)</f>
        <v>24.51815653755396</v>
      </c>
      <c r="D7" s="164">
        <v>20</v>
      </c>
      <c r="E7" s="164">
        <v>12.5</v>
      </c>
      <c r="F7" s="164">
        <v>6.7</v>
      </c>
      <c r="G7" s="129"/>
      <c r="H7" s="130"/>
    </row>
    <row r="8" spans="2:8" x14ac:dyDescent="0.25">
      <c r="B8" s="121"/>
      <c r="C8" s="121"/>
      <c r="D8" s="121"/>
      <c r="E8" s="121"/>
      <c r="F8" s="121"/>
      <c r="G8" s="121"/>
      <c r="H8" s="121"/>
    </row>
    <row r="9" spans="2:8" x14ac:dyDescent="0.25">
      <c r="B9" s="121"/>
      <c r="C9" s="121"/>
      <c r="D9" s="121"/>
      <c r="E9" s="121"/>
      <c r="F9" s="121"/>
      <c r="G9" s="121"/>
      <c r="H9" s="121"/>
    </row>
    <row r="10" spans="2:8" x14ac:dyDescent="0.25">
      <c r="B10" s="121"/>
      <c r="C10" s="121"/>
      <c r="D10" s="121"/>
      <c r="E10" s="121"/>
      <c r="F10" s="121"/>
      <c r="G10" s="121"/>
      <c r="H10" s="121"/>
    </row>
    <row r="11" spans="2:8" x14ac:dyDescent="0.25">
      <c r="B11" s="121"/>
      <c r="C11" s="121"/>
      <c r="D11" s="121"/>
      <c r="E11" s="121"/>
      <c r="F11" s="121"/>
      <c r="G11" s="121"/>
      <c r="H11" s="121"/>
    </row>
    <row r="12" spans="2:8" ht="15.75" x14ac:dyDescent="0.25">
      <c r="B12" s="137" t="s">
        <v>227</v>
      </c>
      <c r="C12" s="126" t="s">
        <v>187</v>
      </c>
      <c r="D12" s="126" t="s">
        <v>180</v>
      </c>
      <c r="E12" s="126" t="s">
        <v>182</v>
      </c>
      <c r="F12" s="126" t="s">
        <v>184</v>
      </c>
      <c r="G12" s="137" t="s">
        <v>215</v>
      </c>
      <c r="H12" s="137" t="s">
        <v>16</v>
      </c>
    </row>
    <row r="13" spans="2:8" ht="15.75" x14ac:dyDescent="0.25">
      <c r="B13" s="131" t="s">
        <v>275</v>
      </c>
      <c r="C13" s="25">
        <f t="shared" ref="C13:C23" si="0">SQRT(D13^2+E13^2+F13^2)</f>
        <v>14.900671125825172</v>
      </c>
      <c r="D13" s="132">
        <v>14.9</v>
      </c>
      <c r="E13" s="132">
        <v>0.1</v>
      </c>
      <c r="F13" s="132">
        <v>0.1</v>
      </c>
      <c r="G13" s="133">
        <f>(4*($D$6-D13)^2+($E$6-E13)^2+($F$6-F13)^2)^(0.5)</f>
        <v>13.60330100492976</v>
      </c>
      <c r="H13" s="133">
        <f>G13/$G$6</f>
        <v>0.99982026783677891</v>
      </c>
    </row>
    <row r="14" spans="2:8" ht="15.75" x14ac:dyDescent="0.25">
      <c r="B14" s="131" t="s">
        <v>48</v>
      </c>
      <c r="C14" s="25">
        <f t="shared" si="0"/>
        <v>24.596747752497688</v>
      </c>
      <c r="D14" s="134">
        <v>16</v>
      </c>
      <c r="E14" s="134">
        <v>6.8</v>
      </c>
      <c r="F14" s="134">
        <v>17.399999999999999</v>
      </c>
      <c r="G14" s="133">
        <f t="shared" ref="G14:G23" si="1">(4*($D$6-D14)^2+($E$6-E14)^2+($F$6-F14)^2)^(0.5)</f>
        <v>8.2274171995946208</v>
      </c>
      <c r="H14" s="133">
        <f t="shared" ref="H14:H15" si="2">G14/$G$6</f>
        <v>0.6047016430146317</v>
      </c>
    </row>
    <row r="15" spans="2:8" ht="15.75" x14ac:dyDescent="0.25">
      <c r="B15" s="131" t="s">
        <v>49</v>
      </c>
      <c r="C15" s="25">
        <f t="shared" si="0"/>
        <v>23.575623003433016</v>
      </c>
      <c r="D15" s="132">
        <v>15.8</v>
      </c>
      <c r="E15" s="132">
        <v>6.1</v>
      </c>
      <c r="F15" s="132">
        <v>16.399999999999999</v>
      </c>
      <c r="G15" s="133">
        <f t="shared" si="1"/>
        <v>7.6230626361617055</v>
      </c>
      <c r="H15" s="133">
        <f t="shared" si="2"/>
        <v>0.56028257581462615</v>
      </c>
    </row>
    <row r="16" spans="2:8" ht="15.75" x14ac:dyDescent="0.25">
      <c r="B16" s="131" t="s">
        <v>276</v>
      </c>
      <c r="C16" s="25">
        <f t="shared" si="0"/>
        <v>16.801190434013897</v>
      </c>
      <c r="D16" s="132">
        <v>16.8</v>
      </c>
      <c r="E16" s="132">
        <v>0</v>
      </c>
      <c r="F16" s="132">
        <v>0.2</v>
      </c>
      <c r="G16" s="133">
        <f t="shared" si="1"/>
        <v>13.169607940356528</v>
      </c>
      <c r="H16" s="133">
        <f>G16/$G$6</f>
        <v>0.96794454033332789</v>
      </c>
    </row>
    <row r="17" spans="2:8" ht="15.75" x14ac:dyDescent="0.25">
      <c r="B17" s="131" t="s">
        <v>278</v>
      </c>
      <c r="C17" s="25">
        <f t="shared" si="0"/>
        <v>18.945711915892737</v>
      </c>
      <c r="D17" s="132">
        <v>17.8</v>
      </c>
      <c r="E17" s="132">
        <v>3.1</v>
      </c>
      <c r="F17" s="132">
        <v>5.7</v>
      </c>
      <c r="G17" s="133">
        <f t="shared" si="1"/>
        <v>7.6273161667526477</v>
      </c>
      <c r="H17" s="133">
        <f t="shared" ref="H17:H23" si="3">G17/$G$6</f>
        <v>0.56059520332269541</v>
      </c>
    </row>
    <row r="18" spans="2:8" ht="15.75" x14ac:dyDescent="0.25">
      <c r="B18" s="131" t="s">
        <v>47</v>
      </c>
      <c r="C18" s="25">
        <f t="shared" si="0"/>
        <v>26.522443326360413</v>
      </c>
      <c r="D18" s="132">
        <v>15.8</v>
      </c>
      <c r="E18" s="132">
        <v>8.8000000000000007</v>
      </c>
      <c r="F18" s="132">
        <v>19.399999999999999</v>
      </c>
      <c r="G18" s="133">
        <f t="shared" si="1"/>
        <v>9.9178626212576013</v>
      </c>
      <c r="H18" s="133">
        <f t="shared" si="3"/>
        <v>0.72894660338403316</v>
      </c>
    </row>
    <row r="19" spans="2:8" ht="15.75" x14ac:dyDescent="0.25">
      <c r="B19" s="131" t="s">
        <v>279</v>
      </c>
      <c r="C19" s="25">
        <f t="shared" si="0"/>
        <v>15.48612282012512</v>
      </c>
      <c r="D19" s="132">
        <v>14.5</v>
      </c>
      <c r="E19" s="132">
        <v>2.9</v>
      </c>
      <c r="F19" s="132">
        <v>4.5999999999999996</v>
      </c>
      <c r="G19" s="133">
        <f t="shared" si="1"/>
        <v>9.0898631756194952</v>
      </c>
      <c r="H19" s="133">
        <f t="shared" si="3"/>
        <v>0.66809000488587544</v>
      </c>
    </row>
    <row r="20" spans="2:8" ht="15.75" x14ac:dyDescent="0.25">
      <c r="B20" s="131" t="s">
        <v>280</v>
      </c>
      <c r="C20" s="25">
        <f t="shared" si="0"/>
        <v>21.754309917807092</v>
      </c>
      <c r="D20" s="132">
        <v>19</v>
      </c>
      <c r="E20" s="132">
        <v>8.8000000000000007</v>
      </c>
      <c r="F20" s="132">
        <v>5.9</v>
      </c>
      <c r="G20" s="133">
        <f t="shared" si="1"/>
        <v>6.0722486181918036</v>
      </c>
      <c r="H20" s="133">
        <f t="shared" si="3"/>
        <v>0.44630029414271483</v>
      </c>
    </row>
    <row r="21" spans="2:8" ht="15.75" x14ac:dyDescent="0.25">
      <c r="B21" s="131" t="s">
        <v>281</v>
      </c>
      <c r="C21" s="25">
        <f t="shared" si="0"/>
        <v>23.197629189208108</v>
      </c>
      <c r="D21" s="132">
        <v>16</v>
      </c>
      <c r="E21" s="132">
        <v>5.7</v>
      </c>
      <c r="F21" s="132">
        <v>15.8</v>
      </c>
      <c r="G21" s="133">
        <f t="shared" si="1"/>
        <v>7.1998172408217762</v>
      </c>
      <c r="H21" s="133">
        <f t="shared" si="3"/>
        <v>0.52917473482984623</v>
      </c>
    </row>
    <row r="22" spans="2:8" ht="15.75" x14ac:dyDescent="0.25">
      <c r="B22" s="131" t="s">
        <v>282</v>
      </c>
      <c r="C22" s="25">
        <f t="shared" si="0"/>
        <v>21.927836190559251</v>
      </c>
      <c r="D22" s="132">
        <v>15.9</v>
      </c>
      <c r="E22" s="132">
        <v>5.9</v>
      </c>
      <c r="F22" s="132">
        <v>13.9</v>
      </c>
      <c r="G22" s="133">
        <f t="shared" si="1"/>
        <v>5.5808314859518608</v>
      </c>
      <c r="H22" s="133">
        <f t="shared" si="3"/>
        <v>0.41018194253102391</v>
      </c>
    </row>
    <row r="23" spans="2:8" ht="15.75" x14ac:dyDescent="0.25">
      <c r="B23" s="131" t="s">
        <v>283</v>
      </c>
      <c r="C23" s="25">
        <f t="shared" si="0"/>
        <v>20.16035713969373</v>
      </c>
      <c r="D23" s="132">
        <v>16</v>
      </c>
      <c r="E23" s="132">
        <v>5</v>
      </c>
      <c r="F23" s="132">
        <v>11.2</v>
      </c>
      <c r="G23" s="133">
        <f t="shared" si="1"/>
        <v>4.6420687094990321</v>
      </c>
      <c r="H23" s="133">
        <f t="shared" si="3"/>
        <v>0.34118442124937881</v>
      </c>
    </row>
    <row r="24" spans="2:8" ht="15.75" x14ac:dyDescent="0.25">
      <c r="B24" s="121"/>
      <c r="C24" s="135">
        <f>COUNT(C13:C23)</f>
        <v>11</v>
      </c>
      <c r="D24" s="121"/>
      <c r="E24" s="121"/>
      <c r="F24" s="121"/>
      <c r="G24" s="121"/>
      <c r="H24" s="136">
        <f>COUNTIF(H13:H23,"&lt;1")</f>
        <v>11</v>
      </c>
    </row>
    <row r="25" spans="2:8" x14ac:dyDescent="0.25">
      <c r="B25" s="121"/>
      <c r="C25" s="121"/>
      <c r="D25" s="121"/>
      <c r="E25" s="121"/>
      <c r="F25" s="121"/>
      <c r="G25" s="121"/>
      <c r="H25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Data and Instruction</vt:lpstr>
      <vt:lpstr>Calculation</vt:lpstr>
      <vt:lpstr>Van Krevelen</vt:lpstr>
      <vt:lpstr>Solubility literature</vt:lpstr>
      <vt:lpstr>Coumarin</vt:lpstr>
      <vt:lpstr>HSP Sphere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Manoly</dc:creator>
  <cp:lastModifiedBy>Admindavid</cp:lastModifiedBy>
  <dcterms:created xsi:type="dcterms:W3CDTF">2022-11-11T15:35:13Z</dcterms:created>
  <dcterms:modified xsi:type="dcterms:W3CDTF">2023-08-16T21:33:19Z</dcterms:modified>
</cp:coreProperties>
</file>